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6bIqkp+ZMPingw7i2EG9gkk1zWWjeqgF83riBjze8sMkloLSLmSm8vjDA5CRfexxKlpGrzfjzzYFHS9f2s+XPQ==" workbookSaltValue="j/0WiE4USlXk3CC0kbJv4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R8" i="9" s="1"/>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E17" i="13"/>
  <c r="E32" i="20"/>
  <c r="M32" i="20"/>
  <c r="AI32" i="20"/>
  <c r="AM32" i="20"/>
  <c r="J32" i="20"/>
  <c r="AK32" i="20"/>
  <c r="U12" i="11"/>
  <c r="AZ32" i="20"/>
  <c r="R32" i="20"/>
  <c r="AJ32" i="20"/>
  <c r="G30" i="14"/>
  <c r="G23" i="14"/>
  <c r="U18" i="11"/>
  <c r="AX32" i="20"/>
  <c r="Y32" i="20"/>
  <c r="L32" i="20"/>
  <c r="AG32" i="20"/>
  <c r="H32" i="20"/>
  <c r="T32" i="21"/>
  <c r="F32" i="20"/>
  <c r="AF32" i="20"/>
  <c r="G26" i="14"/>
  <c r="S32" i="20"/>
  <c r="K32" i="20"/>
  <c r="AQ32" i="21"/>
  <c r="O17" i="11"/>
  <c r="U10" i="11"/>
  <c r="I32" i="20"/>
  <c r="Q32" i="20"/>
  <c r="AE32" i="20"/>
  <c r="AU32" i="20"/>
  <c r="G14" i="14"/>
  <c r="O18" i="11"/>
  <c r="W32" i="20"/>
  <c r="BF17" i="8" l="1"/>
  <c r="J25" i="2"/>
  <c r="F25" i="2"/>
  <c r="BH11" i="16"/>
  <c r="T9" i="11"/>
  <c r="BH16" i="11"/>
  <c r="BF29" i="11"/>
  <c r="BF22" i="11"/>
  <c r="BM13" i="11"/>
  <c r="BL11" i="11"/>
  <c r="BL21" i="11"/>
  <c r="T18" i="16"/>
  <c r="BG21" i="11"/>
  <c r="BV28" i="16"/>
  <c r="BW13" i="20"/>
  <c r="BU29" i="17"/>
  <c r="BW11" i="20"/>
  <c r="BW28" i="20"/>
  <c r="S11" i="17"/>
  <c r="S25" i="17"/>
  <c r="P16" i="17"/>
  <c r="BH25" i="16"/>
  <c r="BJ10" i="11"/>
  <c r="BF16" i="11"/>
  <c r="BI22" i="11"/>
  <c r="X21" i="20"/>
  <c r="L16" i="2"/>
  <c r="L9" i="2"/>
  <c r="V25" i="16"/>
  <c r="S20" i="14"/>
  <c r="V20" i="14" s="1"/>
  <c r="BK19" i="11"/>
  <c r="BJ21" i="11"/>
  <c r="BG9" i="11"/>
  <c r="R18" i="20"/>
  <c r="R23" i="20" s="1"/>
  <c r="BK18" i="11"/>
  <c r="BU25" i="17"/>
  <c r="BV13" i="16"/>
  <c r="BV21" i="16"/>
  <c r="BV11" i="16"/>
  <c r="S21" i="17"/>
  <c r="BU13" i="17"/>
  <c r="BV20" i="16"/>
  <c r="BF12" i="11"/>
  <c r="BK20" i="11"/>
  <c r="Q16" i="17"/>
  <c r="BL22" i="11"/>
  <c r="BK10" i="11"/>
  <c r="L10" i="2"/>
  <c r="L18" i="2"/>
  <c r="P18" i="17"/>
  <c r="BI16" i="11"/>
  <c r="AP18" i="20"/>
  <c r="AZ11" i="11"/>
  <c r="X16" i="16"/>
  <c r="X23" i="16" s="1"/>
  <c r="L17" i="14"/>
  <c r="F11" i="16"/>
  <c r="BL11" i="16" s="1"/>
  <c r="BF16" i="13"/>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I16" i="12"/>
  <c r="BF23" i="13"/>
  <c r="S23" i="16"/>
  <c r="K9" i="12"/>
  <c r="BJ23" i="11"/>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F32" i="16"/>
  <c r="AC32" i="17"/>
  <c r="AK32" i="11"/>
  <c r="AF32" i="16"/>
  <c r="E32" i="12"/>
  <c r="BK32" i="16"/>
  <c r="AS32" i="11"/>
  <c r="P32" i="17"/>
  <c r="I32" i="17"/>
  <c r="P32" i="2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<sst xmlns="http://schemas.openxmlformats.org/spreadsheetml/2006/main" count="2682" uniqueCount="1193">
  <si>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</si>
  <si>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</si>
  <si>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</si>
  <si>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</si>
  <si>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</si>
  <si>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</si>
  <si>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</si>
  <si>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</si>
  <si>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</si>
  <si>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</si>
  <si>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</si>
  <si>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</si>
  <si>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</si>
  <si>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</si>
  <si>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</si>
  <si>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</si>
  <si>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</si>
  <si>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</si>
  <si>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</si>
  <si>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</si>
  <si>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</si>
  <si>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</si>
  <si>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</si>
  <si>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</si>
  <si>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</si>
  <si>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</si>
  <si>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</si>
  <si>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</si>
  <si>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</si>
  <si>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</si>
  <si>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</si>
  <si>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</si>
  <si>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</si>
  <si>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</si>
  <si>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</si>
  <si>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</si>
  <si>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</si>
  <si>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</si>
  <si>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</si>
  <si>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</si>
  <si>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</si>
  <si>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</si>
  <si>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</si>
  <si>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</si>
  <si>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</si>
  <si>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</si>
  <si>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</si>
  <si>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</si>
  <si>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</si>
  <si>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</si>
  <si>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</si>
  <si>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</si>
  <si>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</si>
  <si>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</si>
  <si>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</si>
  <si>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</si>
  <si>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</si>
  <si>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</si>
  <si>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</si>
  <si>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</si>
  <si>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</si>
  <si>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</si>
  <si>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</si>
  <si>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</si>
  <si>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</si>
  <si>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</si>
  <si>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</si>
  <si>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</si>
  <si>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</si>
  <si>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</si>
  <si>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</si>
  <si>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</si>
  <si>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</si>
  <si>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</si>
  <si>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</si>
  <si>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</si>
  <si>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</si>
  <si>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</si>
  <si>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</si>
  <si>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</si>
  <si>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</si>
  <si>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</si>
  <si>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</si>
  <si>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</si>
  <si>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</si>
  <si>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</si>
  <si>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</si>
  <si>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</si>
  <si>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</si>
  <si>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</si>
  <si>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</si>
  <si>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</si>
  <si>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</si>
  <si>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</si>
  <si>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</si>
  <si>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</si>
  <si>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</si>
  <si>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</si>
  <si>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</si>
  <si>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</si>
  <si>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</si>
  <si>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</si>
  <si>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</si>
  <si>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</si>
  <si>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</si>
  <si>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</si>
  <si>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</si>
  <si>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</si>
  <si>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</si>
  <si>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</si>
  <si>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</si>
  <si>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</si>
  <si>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</si>
  <si>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</si>
  <si>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</si>
  <si>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</si>
  <si>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</si>
  <si>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</si>
  <si>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</si>
  <si>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</si>
  <si>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</si>
  <si>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</si>
  <si>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</si>
  <si>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</si>
  <si>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</si>
  <si>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</si>
  <si>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</si>
  <si>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</si>
  <si>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</si>
  <si>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</si>
  <si>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</si>
  <si>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</si>
  <si>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</si>
  <si>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</si>
  <si>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</si>
  <si>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</si>
  <si>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</si>
  <si>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</si>
  <si>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</si>
  <si>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</si>
  <si>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</si>
  <si>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</si>
  <si>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</si>
  <si>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</si>
  <si>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</si>
  <si>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</si>
  <si>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</si>
  <si>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</si>
  <si>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</si>
  <si>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</si>
  <si>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</si>
  <si>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</si>
  <si>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</si>
  <si>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</si>
  <si>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</si>
  <si>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</si>
  <si>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</si>
  <si>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</si>
  <si>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</si>
  <si>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</si>
  <si>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</si>
  <si>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</si>
  <si>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</si>
  <si>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</si>
  <si>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</si>
  <si>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</si>
  <si>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</si>
  <si>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</si>
  <si>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</si>
  <si>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</si>
  <si>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</si>
  <si>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</si>
  <si>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</si>
  <si>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</si>
  <si>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</si>
  <si>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</si>
  <si>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</si>
  <si>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</si>
  <si>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</si>
  <si>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</si>
  <si>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</si>
  <si>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</si>
  <si>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</si>
  <si>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</si>
  <si>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</si>
  <si>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</si>
  <si>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</si>
  <si>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</si>
  <si>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</si>
  <si>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</si>
  <si>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</si>
  <si>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</si>
  <si>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</si>
  <si>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</si>
  <si>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</si>
  <si>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</si>
  <si>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</si>
  <si>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</si>
  <si>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</si>
  <si>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</si>
  <si>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</si>
  <si>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</si>
  <si>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</si>
  <si>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</si>
  <si>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</si>
  <si>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</si>
  <si>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</si>
  <si>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</si>
  <si>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</si>
  <si>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</si>
  <si>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</si>
  <si>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</si>
  <si>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</si>
  <si>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</si>
  <si>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</si>
  <si>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</si>
  <si>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</si>
  <si>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</si>
  <si>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</si>
  <si>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</si>
  <si>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</si>
  <si>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</si>
  <si>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</si>
  <si>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</si>
  <si>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</si>
  <si>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</si>
  <si>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</si>
  <si>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</si>
  <si>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</si>
  <si>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</si>
  <si>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</si>
  <si>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</si>
  <si>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</si>
  <si>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</si>
  <si>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</si>
  <si>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</si>
  <si>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</si>
  <si>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</si>
  <si>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</si>
  <si>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</si>
  <si>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</si>
  <si>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</si>
  <si>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</si>
  <si>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</si>
  <si>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</si>
  <si>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</si>
  <si>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</si>
  <si>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</si>
  <si>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</si>
  <si>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</si>
  <si>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</si>
  <si>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</si>
  <si>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</si>
  <si>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</si>
  <si>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</si>
  <si>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</si>
  <si>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</si>
  <si>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</si>
  <si>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</si>
  <si>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</si>
  <si>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</si>
  <si>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</si>
  <si>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</si>
  <si>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</si>
  <si>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</si>
  <si>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</si>
  <si>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</si>
  <si>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</si>
  <si>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</si>
  <si>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</si>
  <si>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</si>
  <si>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</si>
  <si>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</si>
  <si>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</si>
  <si>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</si>
  <si>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</si>
  <si>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</si>
  <si>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</si>
  <si>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</si>
  <si>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</si>
  <si>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</si>
  <si>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</si>
  <si>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</si>
  <si>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</si>
  <si>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</si>
  <si>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</si>
  <si>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</si>
  <si>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</si>
  <si>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</si>
  <si>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</si>
  <si>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</si>
  <si>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</si>
  <si>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</si>
  <si>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</si>
  <si>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</si>
  <si>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</si>
  <si>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</si>
  <si>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</si>
  <si>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</si>
  <si>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</si>
  <si>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</si>
  <si>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</si>
  <si>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</si>
  <si>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</si>
  <si>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</si>
  <si>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</si>
  <si>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</si>
  <si>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</si>
  <si>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</si>
  <si>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</si>
  <si>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</si>
  <si>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</si>
  <si>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</si>
  <si>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</si>
  <si>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</si>
  <si>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</si>
  <si>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</si>
  <si>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</si>
  <si>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</si>
  <si>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</si>
  <si>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</si>
  <si>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</si>
  <si>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</si>
  <si>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</si>
  <si>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</si>
  <si>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</si>
  <si>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</si>
  <si>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</si>
  <si>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</si>
  <si>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</si>
  <si>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</si>
  <si>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</si>
  <si>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</si>
  <si>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</si>
  <si>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</si>
  <si>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</si>
  <si>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</si>
  <si>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</si>
  <si>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</si>
  <si>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</si>
  <si>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</si>
  <si>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</si>
  <si>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</si>
  <si>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</si>
  <si>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</si>
  <si>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</si>
  <si>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</si>
  <si>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</si>
  <si>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</si>
  <si>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</si>
  <si>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</si>
  <si>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</si>
  <si>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</si>
  <si>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</si>
  <si>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</si>
  <si>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</si>
  <si>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</si>
  <si>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</si>
  <si>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</si>
  <si>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</si>
  <si>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</si>
  <si>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</si>
  <si>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</si>
  <si>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</si>
  <si>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</si>
  <si>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</si>
  <si>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</si>
  <si>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</si>
  <si>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</si>
  <si>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</si>
  <si>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</si>
  <si>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</si>
  <si>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</si>
  <si>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</si>
  <si>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</si>
  <si>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</si>
  <si>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</si>
  <si>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</si>
  <si>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</si>
  <si>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</si>
  <si>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</si>
  <si>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</si>
  <si>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</si>
  <si>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</si>
  <si>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</si>
  <si>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</si>
  <si>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</si>
  <si>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</si>
  <si>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</si>
  <si>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</si>
  <si>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</si>
  <si>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</si>
  <si>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</si>
  <si>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</si>
  <si>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</si>
  <si>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</si>
  <si>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</si>
  <si>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</si>
  <si>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</si>
  <si>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</si>
  <si>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</si>
  <si>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</si>
  <si>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</si>
  <si>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</si>
  <si>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</si>
  <si>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</si>
  <si>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</si>
  <si>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</si>
  <si>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</si>
  <si>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</si>
  <si>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</si>
  <si>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</si>
  <si>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</si>
  <si>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</si>
  <si>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</si>
  <si>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</si>
  <si>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</si>
  <si>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</si>
  <si>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</si>
  <si>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</si>
  <si>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</si>
  <si>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</si>
  <si>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</si>
  <si>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</si>
  <si>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</si>
  <si>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</si>
  <si>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</si>
  <si>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</si>
  <si>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</si>
  <si>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</si>
  <si>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</si>
  <si>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</si>
  <si>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</si>
  <si>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</si>
  <si>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</si>
  <si>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</si>
  <si>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</si>
  <si>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</si>
  <si>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</si>
  <si>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</si>
  <si>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</si>
  <si>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</si>
  <si>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</si>
  <si>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</si>
  <si>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</si>
  <si>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</si>
  <si>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</si>
  <si>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</si>
  <si>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</si>
  <si>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</si>
  <si>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</si>
  <si>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</si>
  <si>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</si>
  <si>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</si>
  <si>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</si>
  <si>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</si>
  <si>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</si>
  <si>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</si>
  <si>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</si>
  <si>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</si>
  <si>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</si>
  <si>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</si>
  <si>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</si>
  <si>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</si>
  <si>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</si>
  <si>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</si>
  <si>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</si>
  <si>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</si>
  <si>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</si>
  <si>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</si>
  <si>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</si>
  <si>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</si>
  <si>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</si>
  <si>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</si>
  <si>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</si>
  <si>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</si>
  <si>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</si>
  <si>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</si>
  <si>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</si>
  <si>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</si>
  <si>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</si>
  <si>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</si>
  <si>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</si>
  <si>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</si>
  <si>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</si>
  <si>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</si>
  <si>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</si>
  <si>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</si>
  <si>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</si>
  <si>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</si>
  <si>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</si>
  <si>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</si>
  <si>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</si>
  <si>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</si>
  <si>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</si>
  <si>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</si>
  <si>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</si>
  <si>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</si>
  <si>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</si>
  <si>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</si>
  <si>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</si>
  <si>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</si>
  <si>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</si>
  <si>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</si>
  <si>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</si>
  <si>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</si>
  <si>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</si>
  <si>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</si>
  <si>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</si>
  <si>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</si>
  <si>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</si>
  <si>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</si>
  <si>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</si>
  <si>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</si>
  <si>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</si>
  <si>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</si>
  <si>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</si>
  <si>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</si>
  <si>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</si>
  <si>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</si>
  <si>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</si>
  <si>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</si>
  <si>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</si>
  <si>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</si>
  <si>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</si>
  <si>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</si>
  <si>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</si>
  <si>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</si>
  <si>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</si>
  <si>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</si>
  <si>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</si>
  <si>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</si>
  <si>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</si>
  <si>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</si>
  <si>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</si>
  <si>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</si>
  <si>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</si>
  <si>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</si>
  <si>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</si>
  <si>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</si>
  <si>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</si>
  <si>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</si>
  <si>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</si>
  <si>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</si>
  <si>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</si>
  <si>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</si>
  <si>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</si>
  <si>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</si>
  <si>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</si>
  <si>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</si>
  <si>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</si>
  <si>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</si>
  <si>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</si>
  <si>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</si>
  <si>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</si>
  <si>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</si>
  <si>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</si>
  <si>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</si>
  <si>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</si>
  <si>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</si>
  <si>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</si>
  <si>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</si>
  <si>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</si>
  <si>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</si>
  <si>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</si>
  <si>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</si>
  <si>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</si>
  <si>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</si>
  <si>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</si>
  <si>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</si>
  <si>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</si>
  <si>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</si>
  <si>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</si>
  <si>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</si>
  <si>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</si>
  <si>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</si>
  <si>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</si>
  <si>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</si>
  <si>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</si>
  <si>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</si>
  <si>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</si>
  <si>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</si>
  <si>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</si>
  <si>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</si>
  <si>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</si>
  <si>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</si>
  <si>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</si>
  <si>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</si>
  <si>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</si>
  <si>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</si>
  <si>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</si>
  <si>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</si>
  <si>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</si>
  <si>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</si>
  <si>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</si>
  <si>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</si>
  <si>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</si>
  <si>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</si>
  <si>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</si>
  <si>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</si>
  <si>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</si>
  <si>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</si>
  <si>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</si>
  <si>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</si>
  <si>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</si>
  <si>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</si>
  <si>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</si>
  <si>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</si>
  <si>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</si>
  <si>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</si>
  <si>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</si>
  <si>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</si>
  <si>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</si>
  <si>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</si>
  <si>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</si>
  <si>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</si>
  <si>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</si>
  <si>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</si>
  <si>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</si>
  <si>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</si>
  <si>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</si>
  <si>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</si>
  <si>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</si>
  <si>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</si>
  <si>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</si>
  <si>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</si>
  <si>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</si>
  <si>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</si>
  <si>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</si>
  <si>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</si>
  <si>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</si>
  <si>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</si>
  <si>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</si>
  <si>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</si>
  <si>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</si>
  <si>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</si>
  <si>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</si>
  <si>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</si>
  <si>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</si>
  <si>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</si>
  <si>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</si>
  <si>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</si>
  <si>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</si>
  <si>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</si>
  <si>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</si>
  <si>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</si>
  <si>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</si>
  <si>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</si>
  <si>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</si>
  <si>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</si>
  <si>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</si>
  <si>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</si>
  <si>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</si>
  <si>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</si>
  <si>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</si>
  <si>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</si>
  <si>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</si>
  <si>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</si>
  <si>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</si>
  <si>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</si>
  <si>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</si>
  <si>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</si>
  <si>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</si>
  <si>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</si>
  <si>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</si>
  <si>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</si>
  <si>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</si>
  <si>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</si>
  <si>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</si>
  <si>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</si>
  <si>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</si>
  <si>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</si>
  <si>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</si>
  <si>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</si>
  <si>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</si>
  <si>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</si>
  <si>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</si>
  <si>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</si>
  <si>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</si>
  <si>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</si>
  <si>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</si>
  <si>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</si>
  <si>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</si>
  <si>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</si>
  <si>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</si>
  <si>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</si>
  <si>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</si>
  <si>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</si>
  <si>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</si>
  <si>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</si>
  <si>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</si>
  <si>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</si>
  <si>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</si>
  <si>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</si>
  <si>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</si>
  <si>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</si>
  <si>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</si>
  <si>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</si>
  <si>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</si>
  <si>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</si>
  <si>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</si>
  <si>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</si>
  <si>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</si>
  <si>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</si>
  <si>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</si>
  <si>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</si>
  <si>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</si>
  <si>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</si>
  <si>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</si>
  <si>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</si>
  <si>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</si>
  <si>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</si>
  <si>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</si>
  <si>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</si>
  <si>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</si>
  <si>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</si>
  <si>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</si>
  <si>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</si>
  <si>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</si>
  <si>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</si>
  <si>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</si>
  <si>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</si>
  <si>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</si>
  <si>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</si>
  <si>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</si>
  <si>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</si>
  <si>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</si>
  <si>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</si>
  <si>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</si>
  <si>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</si>
  <si>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</si>
  <si>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</si>
  <si>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</si>
  <si>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</si>
  <si>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</si>
  <si>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</si>
  <si>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</si>
  <si>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</si>
  <si>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</si>
  <si>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</si>
  <si>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</si>
  <si>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</si>
  <si>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</si>
  <si>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</si>
  <si>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</si>
  <si>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</si>
  <si>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</si>
  <si>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</si>
  <si>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</si>
  <si>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</si>
  <si>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</si>
  <si>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</si>
  <si>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</si>
  <si>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</si>
  <si>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</si>
  <si>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</si>
  <si>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</si>
  <si>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</si>
  <si>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</si>
  <si>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</si>
  <si>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</si>
  <si>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</si>
  <si>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</si>
  <si>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</si>
  <si>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</si>
  <si>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</si>
  <si>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</si>
  <si>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</si>
  <si>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</si>
  <si>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</si>
  <si>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</si>
  <si>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</si>
  <si>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</si>
  <si>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</si>
  <si>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</si>
  <si>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</si>
  <si>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</si>
  <si>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</si>
  <si>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</si>
  <si>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</si>
  <si>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</si>
  <si>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</si>
  <si>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</si>
  <si>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</si>
  <si>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</si>
  <si>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</si>
  <si>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</si>
  <si>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</si>
  <si>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</si>
  <si>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</si>
  <si>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</si>
  <si>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</si>
  <si>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</si>
  <si>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</si>
  <si>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</si>
  <si>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</si>
  <si>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</si>
  <si>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</si>
  <si>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</si>
  <si>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</si>
  <si>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</si>
  <si>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</si>
  <si>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</si>
  <si>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</si>
  <si>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</si>
  <si>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</si>
  <si>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</si>
  <si>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</si>
  <si>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</si>
  <si>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</si>
  <si>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</si>
  <si>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</si>
  <si>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</si>
  <si>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</si>
  <si>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</si>
  <si>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</si>
  <si>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</si>
  <si>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</si>
  <si>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</si>
  <si>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</si>
  <si>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</si>
  <si>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</si>
  <si>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</si>
  <si>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</si>
  <si>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</si>
  <si>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</si>
  <si>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</si>
  <si>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</si>
  <si>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</si>
  <si>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</si>
  <si>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</si>
  <si>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</si>
  <si>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</si>
  <si>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</si>
  <si>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</si>
  <si>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</si>
  <si>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</si>
  <si>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</si>
  <si>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</si>
  <si>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</si>
  <si>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</si>
  <si>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</si>
  <si>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</si>
  <si>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</si>
  <si>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</si>
  <si>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</si>
  <si>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</si>
  <si>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</si>
  <si>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</si>
  <si>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</si>
  <si>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</si>
  <si>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</si>
  <si>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</si>
  <si>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</si>
  <si>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</si>
  <si>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</si>
  <si>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</si>
  <si>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</si>
  <si>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</si>
  <si>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</si>
  <si>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</si>
  <si>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</si>
  <si>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</si>
  <si>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</si>
  <si>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</si>
  <si>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</si>
  <si>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</si>
  <si>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</si>
  <si>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</si>
  <si>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</si>
  <si>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</si>
  <si>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</si>
  <si>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</si>
  <si>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</si>
  <si>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</si>
  <si>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</si>
  <si>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</si>
  <si>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</si>
  <si>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</si>
  <si>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</si>
  <si>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</si>
  <si>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</si>
  <si>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</si>
  <si>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</si>
  <si>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</si>
  <si>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</si>
  <si>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</si>
  <si>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</si>
  <si>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</si>
  <si>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</si>
  <si>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</si>
  <si>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</si>
  <si>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</si>
  <si>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</si>
  <si>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</si>
  <si>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</si>
  <si>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</si>
  <si>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</si>
  <si>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</si>
  <si>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</si>
  <si>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</si>
  <si>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</si>
  <si>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</si>
  <si>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</si>
  <si>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</si>
  <si>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</si>
  <si>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</si>
  <si>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</si>
  <si>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</si>
  <si>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</si>
  <si>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</si>
  <si>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</si>
  <si>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</si>
  <si>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</si>
  <si>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</si>
  <si>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</si>
  <si>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</si>
  <si>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</si>
  <si>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</si>
  <si>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</si>
  <si>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</si>
  <si>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</si>
  <si>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</si>
  <si>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</si>
  <si>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</si>
  <si>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</si>
  <si>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</si>
  <si>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</si>
  <si>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</si>
  <si>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</si>
  <si>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</si>
  <si>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</si>
  <si>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</si>
  <si>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</si>
  <si>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</si>
  <si>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</si>
  <si>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</si>
  <si>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</si>
  <si>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</si>
  <si>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</si>
  <si>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</si>
  <si>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</si>
  <si>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</si>
  <si>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</si>
  <si>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</si>
  <si>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</si>
  <si>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</si>
  <si>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</si>
  <si>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</si>
  <si>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</si>
  <si>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</si>
  <si>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</si>
  <si>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</si>
  <si>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</si>
  <si>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</si>
  <si>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</si>
  <si>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</si>
  <si>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</si>
  <si>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</si>
  <si>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</si>
  <si>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</si>
  <si>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</si>
  <si>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</si>
  <si>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</si>
  <si>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</si>
  <si>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</si>
  <si>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</si>
  <si>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</si>
  <si>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</si>
  <si>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</si>
  <si>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</si>
  <si>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</si>
  <si>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</si>
  <si>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</si>
  <si>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</si>
  <si>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</si>
  <si>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</si>
  <si>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</si>
  <si>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</si>
  <si>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</si>
  <si>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</si>
  <si>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</si>
  <si>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</si>
  <si>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</si>
  <si>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</si>
  <si>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</si>
  <si>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</si>
  <si>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</si>
  <si>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</si>
  <si>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</si>
  <si>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</si>
  <si>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</si>
  <si>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</si>
  <si>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</si>
  <si>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</si>
  <si>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</si>
  <si>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</si>
  <si>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</si>
  <si>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</si>
  <si>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</si>
  <si>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</si>
  <si>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</si>
  <si>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</si>
  <si>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</si>
  <si>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</si>
  <si>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</si>
  <si>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</si>
  <si>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</si>
  <si>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</si>
  <si>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</si>
  <si>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</si>
  <si>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</si>
  <si>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</si>
  <si>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</si>
  <si>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</si>
  <si>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</si>
  <si>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</si>
  <si>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</si>
  <si>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</si>
  <si>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</si>
  <si>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</si>
  <si>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</si>
  <si>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</si>
  <si>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</si>
  <si>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</si>
  <si>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</si>
  <si>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</si>
  <si>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</si>
  <si>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</si>
  <si>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</si>
  <si>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</si>
  <si>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</si>
  <si>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</si>
  <si>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</si>
  <si>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</si>
  <si>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</si>
  <si>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</si>
  <si>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</si>
  <si>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</si>
  <si>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</si>
  <si>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</si>
  <si>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</si>
  <si>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</si>
  <si>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</si>
  <si>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</si>
  <si>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</si>
  <si>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</si>
  <si>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</si>
  <si>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</si>
  <si>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</si>
  <si>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</si>
  <si>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</si>
  <si>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</si>
  <si>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</si>
  <si>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</si>
  <si>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</si>
  <si>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</si>
  <si>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</si>
  <si>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</si>
  <si>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</si>
  <si>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</si>
  <si>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</si>
  <si>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</si>
  <si>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</si>
  <si>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</si>
  <si>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</si>
  <si>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</si>
  <si>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</si>
  <si>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</si>
  <si>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</si>
  <si>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</si>
  <si>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</si>
  <si>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</si>
  <si>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</si>
  <si>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</si>
  <si>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</si>
  <si>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</si>
  <si>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</si>
  <si>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</si>
  <si>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</si>
  <si>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</si>
  <si>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</si>
  <si>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</si>
  <si>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</si>
  <si>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</si>
  <si>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</si>
  <si>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</si>
  <si>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</si>
  <si>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</si>
  <si>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</si>
  <si>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</si>
  <si>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</si>
  <si>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</si>
  <si>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</si>
  <si>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</si>
  <si>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</si>
  <si>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</si>
  <si>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</si>
  <si>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</si>
  <si>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</si>
  <si>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</si>
  <si>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</si>
  <si>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</si>
  <si>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</si>
  <si>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</si>
  <si>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</si>
  <si>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</si>
  <si>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</si>
  <si>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</si>
  <si>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</si>
  <si>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</si>
  <si>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</si>
  <si>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</si>
  <si>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</si>
  <si>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</si>
  <si>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</si>
  <si>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</si>
  <si>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</si>
  <si>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</si>
  <si>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</si>
  <si>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</si>
  <si>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</si>
  <si>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</si>
  <si>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</si>
  <si>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</si>
  <si>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</si>
  <si>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</si>
  <si>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</si>
  <si>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</si>
  <si>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</si>
  <si>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</si>
  <si>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</si>
  <si>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</si>
  <si>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</si>
  <si>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</si>
  <si>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</si>
  <si>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</si>
  <si>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</si>
  <si>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</si>
  <si>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</si>
  <si>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</si>
  <si>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</si>
  <si>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</si>
  <si>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</si>
  <si>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</si>
  <si>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</si>
  <si>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</si>
  <si>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</si>
  <si>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</si>
  <si>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</si>
  <si>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</si>
  <si>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</si>
  <si>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</si>
  <si>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</si>
  <si>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</si>
  <si>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</si>
  <si>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</si>
  <si>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</si>
  <si>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</si>
  <si>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</si>
  <si>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</si>
  <si>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</si>
  <si>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</si>
  <si>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</si>
  <si>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</si>
  <si>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</si>
  <si>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</si>
  <si>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</si>
  <si>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</si>
  <si>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</si>
  <si>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</si>
  <si>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</si>
  <si>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</si>
  <si>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</si>
  <si>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</si>
  <si>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</si>
  <si>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</si>
  <si>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</si>
  <si>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</si>
  <si>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</si>
  <si>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</si>
  <si>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</si>
  <si>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</si>
  <si>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</si>
  <si>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</si>
  <si>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</si>
  <si>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</si>
  <si>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</si>
  <si>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</si>
  <si>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</si>
  <si>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SANTA CRUZ DE TENERIFE</t>
  </si>
  <si>
    <t>Resumenes por Partidos Judiciales</t>
  </si>
  <si>
    <t>PUERTO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</si>
</sst>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dKLIzzg+qNKVHSYAGIvz+rDgET9rLOHtJXviCb09VRyUqJ7IVClkFFGGzK7NKf4J6JSG2c2LmlHpeOFcwqizg==" saltValue="RjN2lVEJx+GewG4kP9cU0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4</v>
      </c>
      <c r="F10" s="240">
        <f>IF(ISNUMBER(Datos!K10),Datos!K10," - ")</f>
        <v>2</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0.4</v>
      </c>
      <c r="L10" s="1402">
        <f>IF(ISNUMBER(NºAsuntos!I10/NºAsuntos!G10),(NºAsuntos!I10/NºAsuntos!G10)*11," - ")</f>
        <v>38.5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22.246435845213849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4</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656</v>
      </c>
      <c r="D17" s="239">
        <f>IF(ISNUMBER(IF(D_I="SI",Datos!I17,Datos!I17+Datos!AC17)),IF(D_I="SI",Datos!I17,Datos!I17+Datos!AC17)," - ")</f>
        <v>653</v>
      </c>
      <c r="E17" s="240">
        <f>IF(ISNUMBER(IF(D_I="SI",Datos!J17,Datos!J17+Datos!AD17)),IF(D_I="SI",Datos!J17,Datos!J17+Datos!AD17)," - ")</f>
        <v>541</v>
      </c>
      <c r="F17" s="240">
        <f>IF(ISNUMBER(IF(D_I="SI",Datos!K17,Datos!K17+Datos!AE17)),IF(D_I="SI",Datos!K17,Datos!K17+Datos!AE17)," - ")</f>
        <v>583</v>
      </c>
      <c r="G17" s="1390" t="str">
        <f>IF(Datos!E17&lt;&gt;"",Datos!E17,Datos!D17)</f>
        <v>04</v>
      </c>
      <c r="H17" s="241">
        <f>IF(ISNUMBER(IF(D_I="SI",Datos!L17,Datos!L17+Datos!AF17)),IF(D_I="SI",Datos!L17,Datos!L17+Datos!AF17)," - ")</f>
        <v>614</v>
      </c>
      <c r="I17" s="1400" t="str">
        <f>IF(ISNUMBER(Datos!AS17/Datos!BM17),Datos!AS17/Datos!BM17," - ")</f>
        <v xml:space="preserve"> - </v>
      </c>
      <c r="J17" s="1401">
        <f>IF(ISNUMBER(Datos!BY17/Datos!CN17),Datos!BY17/Datos!CN17," - ")</f>
        <v>0</v>
      </c>
      <c r="K17" s="244">
        <f t="shared" si="3"/>
        <v>-6.402439024390244E-2</v>
      </c>
      <c r="L17" s="1402">
        <f>IF(ISNUMBER(NºAsuntos!I17/NºAsuntos!G17),(NºAsuntos!I17/NºAsuntos!G17)*11," - ")</f>
        <v>11.584905660377357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52</v>
      </c>
      <c r="F18" s="240">
        <f>IF(ISNUMBER(IF(D_I="SI",Datos!K18,Datos!K18+Datos!AE18)),IF(D_I="SI",Datos!K18,Datos!K18+Datos!AE18)," - ")</f>
        <v>51</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7.1428571428571425E-2</v>
      </c>
      <c r="L18" s="1402">
        <f>IF(ISNUMBER(NºAsuntos!I18/NºAsuntos!G18),(NºAsuntos!I18/NºAsuntos!G18)*11," - ")</f>
        <v>3.2352941176470589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670</v>
      </c>
      <c r="D23" s="1407">
        <f>SUBTOTAL(9,D16:D22)</f>
        <v>667</v>
      </c>
      <c r="E23" s="1408">
        <f>SUBTOTAL(9,E16:E22)</f>
        <v>593</v>
      </c>
      <c r="F23" s="1408">
        <f>SUBTOTAL(9,F16:F22)</f>
        <v>634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675</v>
      </c>
      <c r="D31" s="1435">
        <f>SUBTOTAL(9,D9:D30)</f>
        <v>672</v>
      </c>
      <c r="E31" s="1436">
        <f>SUBTOTAL(9,E9:E30)</f>
        <v>597</v>
      </c>
      <c r="F31" s="1436">
        <f>SUBTOTAL(9,F9:F30)</f>
        <v>636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dtHMw8nQJC5qKT76/i/+Ubd5aSKLi4lQ7fUAOGzXNoXdAGGtAvnKIMr3BRk4dzCHKgKrUW5Ut0YD6EbwsctDQ==" saltValue="DTjOhGCyBFADqjyZYPJZz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wys4zM780nAg0297AbiDAH5Wj949wcani795sUWoRHO24g/EhPLgZWU9mrrhLoAYecAv91vVkd27I8eOBlN+w==" saltValue="aidF27ibnA36FHzFN3Gh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4</v>
      </c>
      <c r="K10" s="194">
        <v>2</v>
      </c>
      <c r="L10" s="194">
        <v>7</v>
      </c>
      <c r="M10" s="194">
        <v>2</v>
      </c>
      <c r="N10" s="194">
        <v>0</v>
      </c>
      <c r="O10" s="194">
        <v>0</v>
      </c>
      <c r="P10" s="194">
        <v>2</v>
      </c>
      <c r="Q10" s="194">
        <v>2</v>
      </c>
      <c r="R10" s="194">
        <v>0</v>
      </c>
      <c r="S10" s="194">
        <v>4</v>
      </c>
      <c r="T10" s="194">
        <v>2</v>
      </c>
      <c r="U10" s="194">
        <v>2</v>
      </c>
      <c r="V10" s="194">
        <v>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2</v>
      </c>
      <c r="BA10" s="139">
        <f t="shared" si="0"/>
        <v>2</v>
      </c>
      <c r="BB10" s="139">
        <f t="shared" si="0"/>
        <v>4</v>
      </c>
      <c r="BC10" s="135">
        <f t="shared" si="0"/>
        <v>0</v>
      </c>
      <c r="BD10" s="136">
        <f>IF(ISNUMBER(BA10/AZ10),BA10/AZ10," - ")</f>
        <v>1</v>
      </c>
      <c r="BE10" s="137">
        <f>IF(ISNUMBER(BB10/BA10),BB10/BA10, " - ")</f>
        <v>2</v>
      </c>
      <c r="BF10" s="137">
        <f>IF(ISNUMBER(BC10/BA10),BC10/BA10, " - ")</f>
        <v>0</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915</v>
      </c>
      <c r="J12" s="196">
        <v>522</v>
      </c>
      <c r="K12" s="196">
        <v>474</v>
      </c>
      <c r="L12" s="196">
        <v>963</v>
      </c>
      <c r="M12" s="196">
        <v>109</v>
      </c>
      <c r="N12" s="196">
        <v>132</v>
      </c>
      <c r="O12" s="194">
        <v>84</v>
      </c>
      <c r="P12" s="196">
        <v>124</v>
      </c>
      <c r="Q12" s="196">
        <v>31</v>
      </c>
      <c r="R12" s="196">
        <v>2279</v>
      </c>
      <c r="S12" s="196">
        <v>901</v>
      </c>
      <c r="T12" s="196">
        <v>383</v>
      </c>
      <c r="U12" s="196">
        <v>384</v>
      </c>
      <c r="V12" s="196">
        <v>900</v>
      </c>
      <c r="W12" s="196">
        <v>93</v>
      </c>
      <c r="X12" s="202">
        <v>102</v>
      </c>
      <c r="Y12" s="204">
        <v>21</v>
      </c>
      <c r="Z12" s="194">
        <v>26</v>
      </c>
      <c r="AA12" s="194">
        <v>17</v>
      </c>
      <c r="AB12" s="194">
        <v>30</v>
      </c>
      <c r="AC12" s="196">
        <v>0</v>
      </c>
      <c r="AD12" s="196">
        <v>0</v>
      </c>
      <c r="AE12" s="196">
        <v>0</v>
      </c>
      <c r="AF12" s="202">
        <v>0</v>
      </c>
      <c r="AG12" s="215">
        <v>26</v>
      </c>
      <c r="AH12" s="196">
        <v>26</v>
      </c>
      <c r="AI12" s="196">
        <v>27</v>
      </c>
      <c r="AJ12" s="216">
        <v>25</v>
      </c>
      <c r="AK12" s="195">
        <v>0</v>
      </c>
      <c r="AL12" s="196">
        <v>0</v>
      </c>
      <c r="AM12" s="196">
        <v>0</v>
      </c>
      <c r="AN12" s="202">
        <v>0</v>
      </c>
      <c r="AO12" s="283">
        <v>3</v>
      </c>
      <c r="AP12" s="168">
        <v>3</v>
      </c>
      <c r="AQ12" s="168">
        <v>3</v>
      </c>
      <c r="AR12" s="167">
        <v>3</v>
      </c>
      <c r="AS12" s="381" t="s">
        <v>1075</v>
      </c>
      <c r="AT12" s="216"/>
      <c r="AU12" s="215"/>
      <c r="AV12" s="216"/>
      <c r="AW12" s="215"/>
      <c r="AX12" s="216"/>
      <c r="AY12" s="136">
        <f t="shared" si="1"/>
        <v>927</v>
      </c>
      <c r="AZ12" s="137">
        <f t="shared" si="1"/>
        <v>409</v>
      </c>
      <c r="BA12" s="137">
        <f t="shared" si="1"/>
        <v>411</v>
      </c>
      <c r="BB12" s="137">
        <f t="shared" si="1"/>
        <v>925</v>
      </c>
      <c r="BC12" s="135">
        <f>IF(ISNUMBER(X12),X12," - ")</f>
        <v>102</v>
      </c>
      <c r="BD12" s="136">
        <f t="shared" si="2"/>
        <v>1.0048899755501222</v>
      </c>
      <c r="BE12" s="137">
        <f t="shared" si="3"/>
        <v>2.2506082725060828</v>
      </c>
      <c r="BF12" s="137">
        <f t="shared" si="4"/>
        <v>0.24817518248175183</v>
      </c>
      <c r="BG12" s="209">
        <f t="shared" si="5"/>
        <v>3.2506082725060828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920</v>
      </c>
      <c r="J14" s="197">
        <f t="shared" si="7"/>
        <v>526</v>
      </c>
      <c r="K14" s="197">
        <f t="shared" si="7"/>
        <v>476</v>
      </c>
      <c r="L14" s="197">
        <f t="shared" si="7"/>
        <v>970</v>
      </c>
      <c r="M14" s="197">
        <f t="shared" si="7"/>
        <v>111</v>
      </c>
      <c r="N14" s="197">
        <f t="shared" si="7"/>
        <v>132</v>
      </c>
      <c r="O14" s="197">
        <f t="shared" si="7"/>
        <v>84</v>
      </c>
      <c r="P14" s="197">
        <f t="shared" si="7"/>
        <v>126</v>
      </c>
      <c r="Q14" s="197">
        <f t="shared" si="7"/>
        <v>33</v>
      </c>
      <c r="R14" s="197">
        <f t="shared" si="7"/>
        <v>2279</v>
      </c>
      <c r="S14" s="197">
        <f t="shared" si="7"/>
        <v>905</v>
      </c>
      <c r="T14" s="197">
        <f t="shared" si="7"/>
        <v>385</v>
      </c>
      <c r="U14" s="197">
        <f t="shared" si="7"/>
        <v>386</v>
      </c>
      <c r="V14" s="197">
        <f t="shared" si="7"/>
        <v>904</v>
      </c>
      <c r="W14" s="197">
        <f t="shared" si="7"/>
        <v>93</v>
      </c>
      <c r="X14" s="197">
        <f t="shared" si="7"/>
        <v>102</v>
      </c>
      <c r="Y14" s="197">
        <f t="shared" si="7"/>
        <v>21</v>
      </c>
      <c r="Z14" s="197">
        <f t="shared" si="7"/>
        <v>26</v>
      </c>
      <c r="AA14" s="197">
        <f t="shared" si="7"/>
        <v>17</v>
      </c>
      <c r="AB14" s="197">
        <f t="shared" si="7"/>
        <v>30</v>
      </c>
      <c r="AC14" s="197">
        <f t="shared" si="7"/>
        <v>0</v>
      </c>
      <c r="AD14" s="197">
        <f t="shared" si="7"/>
        <v>0</v>
      </c>
      <c r="AE14" s="197">
        <f t="shared" si="7"/>
        <v>0</v>
      </c>
      <c r="AF14" s="197">
        <f>SUBTOTAL(9,AF9:AF13)</f>
        <v>0</v>
      </c>
      <c r="AG14" s="197">
        <f t="shared" ref="AG14:AT14" si="8">SUBTOTAL(9,AG8:AG13)</f>
        <v>26</v>
      </c>
      <c r="AH14" s="197">
        <f t="shared" si="8"/>
        <v>26</v>
      </c>
      <c r="AI14" s="197">
        <f t="shared" si="8"/>
        <v>27</v>
      </c>
      <c r="AJ14" s="197">
        <f t="shared" si="8"/>
        <v>25</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931</v>
      </c>
      <c r="AZ14" s="197">
        <f>SUBTOTAL(9,AZ8:AZ13)</f>
        <v>411</v>
      </c>
      <c r="BA14" s="197">
        <f>SUBTOTAL(9,BA8:BA13)</f>
        <v>413</v>
      </c>
      <c r="BB14" s="197">
        <f>SUBTOTAL(9,BB8:BB13)</f>
        <v>929</v>
      </c>
      <c r="BC14" s="197">
        <f>SUBTOTAL(9,BC8:BC13)</f>
        <v>102</v>
      </c>
      <c r="BD14" s="219">
        <f>IF(ISNUMBER(BA14/AZ14),BA14/AZ14," - ")</f>
        <v>1.0048661800486618</v>
      </c>
      <c r="BE14" s="220">
        <f>IF(ISNUMBER(BB14/BA14),BB14/BA14, " - ")</f>
        <v>2.2493946731234868</v>
      </c>
      <c r="BF14" s="220">
        <f>IF(ISNUMBER(BC14/BA14),BC14/BA14, " - ")</f>
        <v>0.24697336561743341</v>
      </c>
      <c r="BG14" s="221">
        <f>IF(ISNUMBER((AY14+AZ14)/BA14),(AY14+AZ14)/BA14," - ")</f>
        <v>3.2493946731234868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653</v>
      </c>
      <c r="J17" s="196">
        <v>541</v>
      </c>
      <c r="K17" s="196">
        <v>583</v>
      </c>
      <c r="L17" s="196">
        <v>614</v>
      </c>
      <c r="M17" s="196">
        <v>63</v>
      </c>
      <c r="N17" s="196">
        <v>378</v>
      </c>
      <c r="O17" s="194">
        <v>4</v>
      </c>
      <c r="P17" s="196">
        <v>13</v>
      </c>
      <c r="Q17" s="196">
        <v>19</v>
      </c>
      <c r="R17" s="196">
        <v>73</v>
      </c>
      <c r="S17" s="196">
        <v>386</v>
      </c>
      <c r="T17" s="196">
        <v>562</v>
      </c>
      <c r="U17" s="196">
        <v>496</v>
      </c>
      <c r="V17" s="196">
        <v>460</v>
      </c>
      <c r="W17" s="196">
        <v>49</v>
      </c>
      <c r="X17" s="202">
        <v>321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386</v>
      </c>
      <c r="AZ17" s="137">
        <f t="shared" si="10"/>
        <v>562</v>
      </c>
      <c r="BA17" s="137">
        <f t="shared" si="10"/>
        <v>496</v>
      </c>
      <c r="BB17" s="137">
        <f t="shared" si="10"/>
        <v>460</v>
      </c>
      <c r="BC17" s="135">
        <f>IF(ISNUMBER(W17),W17," - ")</f>
        <v>49</v>
      </c>
      <c r="BD17" s="136">
        <f t="shared" ref="BD17:BD22" si="12">IF(ISNUMBER(BA17/AZ17),BA17/AZ17," - ")</f>
        <v>0.88256227758007122</v>
      </c>
      <c r="BE17" s="137">
        <f t="shared" ref="BE17:BE22" si="13">IF(ISNUMBER(BB17/BA17),BB17/BA17, " - ")</f>
        <v>0.92741935483870963</v>
      </c>
      <c r="BF17" s="137">
        <f t="shared" ref="BF17:BF22" si="14">IF(ISNUMBER(BC17/BA17),BC17/BA17, " - ")</f>
        <v>9.8790322580645157E-2</v>
      </c>
      <c r="BG17" s="209">
        <f t="shared" si="11"/>
        <v>1.9112903225806452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52</v>
      </c>
      <c r="K18" s="196">
        <v>51</v>
      </c>
      <c r="L18" s="196">
        <v>15</v>
      </c>
      <c r="M18" s="196">
        <v>10</v>
      </c>
      <c r="N18" s="196">
        <v>48</v>
      </c>
      <c r="O18" s="196">
        <v>0</v>
      </c>
      <c r="P18" s="196">
        <v>0</v>
      </c>
      <c r="Q18" s="196">
        <v>0</v>
      </c>
      <c r="R18" s="196">
        <v>0</v>
      </c>
      <c r="S18" s="196">
        <v>7</v>
      </c>
      <c r="T18" s="196">
        <v>22</v>
      </c>
      <c r="U18" s="196">
        <v>19</v>
      </c>
      <c r="V18" s="196">
        <v>10</v>
      </c>
      <c r="W18" s="196">
        <v>13</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22</v>
      </c>
      <c r="BA18" s="139">
        <f t="shared" si="15"/>
        <v>19</v>
      </c>
      <c r="BB18" s="139">
        <f t="shared" si="15"/>
        <v>10</v>
      </c>
      <c r="BC18" s="135">
        <f>IF(ISNUMBER(W18),W18," - ")</f>
        <v>13</v>
      </c>
      <c r="BD18" s="136">
        <f>IF(ISNUMBER(BA18/AZ18),BA18/AZ18," - ")</f>
        <v>0.86363636363636365</v>
      </c>
      <c r="BE18" s="137">
        <f>IF(ISNUMBER(BB18/BA18),BB18/BA18, " - ")</f>
        <v>0.52631578947368418</v>
      </c>
      <c r="BF18" s="137">
        <f>IF(ISNUMBER(BC18/BA18),BC18/BA18, " - ")</f>
        <v>0.68421052631578949</v>
      </c>
      <c r="BG18" s="209">
        <f>IF(ISNUMBER((AY18+AZ18)/BA18),(AY18+AZ18)/BA18," - ")</f>
        <v>1.5263157894736843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667</v>
      </c>
      <c r="J23" s="197">
        <f t="shared" si="21"/>
        <v>593</v>
      </c>
      <c r="K23" s="197">
        <f t="shared" si="21"/>
        <v>634</v>
      </c>
      <c r="L23" s="197">
        <f t="shared" si="21"/>
        <v>629</v>
      </c>
      <c r="M23" s="197">
        <f t="shared" si="21"/>
        <v>73</v>
      </c>
      <c r="N23" s="197">
        <f t="shared" si="21"/>
        <v>426</v>
      </c>
      <c r="O23" s="197">
        <f t="shared" si="21"/>
        <v>4</v>
      </c>
      <c r="P23" s="197">
        <f t="shared" si="21"/>
        <v>13</v>
      </c>
      <c r="Q23" s="197">
        <f t="shared" si="21"/>
        <v>19</v>
      </c>
      <c r="R23" s="197">
        <f t="shared" si="21"/>
        <v>73</v>
      </c>
      <c r="S23" s="197">
        <f t="shared" si="21"/>
        <v>393</v>
      </c>
      <c r="T23" s="197">
        <f t="shared" si="21"/>
        <v>584</v>
      </c>
      <c r="U23" s="197">
        <f t="shared" si="21"/>
        <v>515</v>
      </c>
      <c r="V23" s="197">
        <f t="shared" si="21"/>
        <v>470</v>
      </c>
      <c r="W23" s="197">
        <f t="shared" si="21"/>
        <v>62</v>
      </c>
      <c r="X23" s="197">
        <f t="shared" si="21"/>
        <v>334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393</v>
      </c>
      <c r="AZ23" s="197">
        <f>SUBTOTAL(9,AZ15:AZ22)</f>
        <v>584</v>
      </c>
      <c r="BA23" s="197">
        <f>SUBTOTAL(9,BA15:BA22)</f>
        <v>515</v>
      </c>
      <c r="BB23" s="197">
        <f>SUBTOTAL(9,BB15:BB22)</f>
        <v>470</v>
      </c>
      <c r="BC23" s="197">
        <f>SUBTOTAL(9,BC15:BC22)</f>
        <v>62</v>
      </c>
      <c r="BD23" s="219">
        <f>IF(ISNUMBER(BA23/AZ23),BA23/AZ23," - ")</f>
        <v>0.88184931506849318</v>
      </c>
      <c r="BE23" s="220">
        <f>IF(ISNUMBER(BB23/BA23),BB23/BA23, " - ")</f>
        <v>0.91262135922330101</v>
      </c>
      <c r="BF23" s="220">
        <f>IF(ISNUMBER(BC23/BA23),BC23/BA23, " - ")</f>
        <v>0.12038834951456311</v>
      </c>
      <c r="BG23" s="221">
        <f>IF(ISNUMBER((AY23+AZ23)/BA23),(AY23+AZ23)/BA23," - ")</f>
        <v>1.8970873786407767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1587</v>
      </c>
      <c r="J31" s="144">
        <f t="shared" si="36"/>
        <v>1119</v>
      </c>
      <c r="K31" s="144">
        <f t="shared" si="36"/>
        <v>1110</v>
      </c>
      <c r="L31" s="144">
        <f t="shared" si="36"/>
        <v>1599</v>
      </c>
      <c r="M31" s="144">
        <f t="shared" si="36"/>
        <v>184</v>
      </c>
      <c r="N31" s="144">
        <f t="shared" si="36"/>
        <v>558</v>
      </c>
      <c r="O31" s="144">
        <f t="shared" si="36"/>
        <v>88</v>
      </c>
      <c r="P31" s="144">
        <f t="shared" si="36"/>
        <v>139</v>
      </c>
      <c r="Q31" s="144">
        <f t="shared" si="36"/>
        <v>52</v>
      </c>
      <c r="R31" s="144">
        <f t="shared" si="36"/>
        <v>2352</v>
      </c>
      <c r="S31" s="144">
        <f t="shared" si="36"/>
        <v>1298</v>
      </c>
      <c r="T31" s="144">
        <f t="shared" si="36"/>
        <v>969</v>
      </c>
      <c r="U31" s="144">
        <f t="shared" si="36"/>
        <v>901</v>
      </c>
      <c r="V31" s="144">
        <f t="shared" si="36"/>
        <v>1374</v>
      </c>
      <c r="W31" s="144">
        <f t="shared" si="36"/>
        <v>155</v>
      </c>
      <c r="X31" s="144">
        <f t="shared" si="36"/>
        <v>436</v>
      </c>
      <c r="Y31" s="144">
        <f t="shared" si="36"/>
        <v>21</v>
      </c>
      <c r="Z31" s="144">
        <f t="shared" si="36"/>
        <v>26</v>
      </c>
      <c r="AA31" s="144">
        <f t="shared" si="36"/>
        <v>17</v>
      </c>
      <c r="AB31" s="144">
        <f t="shared" si="36"/>
        <v>30</v>
      </c>
      <c r="AC31" s="144">
        <f t="shared" si="36"/>
        <v>0</v>
      </c>
      <c r="AD31" s="144">
        <f t="shared" si="36"/>
        <v>0</v>
      </c>
      <c r="AE31" s="144">
        <f t="shared" si="36"/>
        <v>0</v>
      </c>
      <c r="AF31" s="144">
        <f t="shared" si="36"/>
        <v>0</v>
      </c>
      <c r="AG31" s="144">
        <f t="shared" si="36"/>
        <v>26</v>
      </c>
      <c r="AH31" s="144">
        <f t="shared" si="36"/>
        <v>26</v>
      </c>
      <c r="AI31" s="144">
        <f t="shared" si="36"/>
        <v>27</v>
      </c>
      <c r="AJ31" s="144">
        <f t="shared" si="36"/>
        <v>25</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1324</v>
      </c>
      <c r="AZ31" s="144">
        <f>SUBTOTAL(9,AZ9:AZ30)</f>
        <v>995</v>
      </c>
      <c r="BA31" s="144">
        <f>SUBTOTAL(9,BA9:BA30)</f>
        <v>928</v>
      </c>
      <c r="BB31" s="144">
        <f>SUBTOTAL(9,BB9:BB30)</f>
        <v>1399</v>
      </c>
      <c r="BC31" s="145">
        <f>SUBTOTAL(9,BC9:BC30)</f>
        <v>164</v>
      </c>
      <c r="BD31" s="227">
        <f>IF(ISNUMBER(BA31/AZ31),BA31/AZ31," - ")</f>
        <v>0.93266331658291457</v>
      </c>
      <c r="BE31" s="224">
        <f>IF(ISNUMBER(BB31/BA31),BB31/BA31, " - ")</f>
        <v>1.5075431034482758</v>
      </c>
      <c r="BF31" s="224">
        <f>IF(ISNUMBER(BC31/BA31),BC31/BA31, " - ")</f>
        <v>0.17672413793103448</v>
      </c>
      <c r="BG31" s="145">
        <f>IF(ISNUMBER((AY31+AZ31)/BA31),(AY31+AZ31)/BA31," - ")</f>
        <v>2.4989224137931036</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DSIBJ1RGR3dVvbKaAqjVm52z29RfkyKNFLONvgjgblfDzkpuVbWPUsfUGqNYBm8Vw/hsFjXPzZmCOutd6fDw==" saltValue="OowrK30keJmr3kE3HrQz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Y0/PobKA4GeZFYCnKclUEGnU/guJlhco65/etjI2uPavsrBZq50SqAJN3sJFAPUL0G9EAN7o5i6oWaXE7b6vQ==" saltValue="1q/utjR6mIzJ2NvyL2LwJ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PUERTO DE LA CRUZ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2</v>
      </c>
      <c r="AD10" s="549"/>
      <c r="AE10" s="563"/>
      <c r="AF10" s="551">
        <f>IF(ISNUMBER(Datos!L10),Datos!L10,"-")</f>
        <v>7</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10.5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v>
      </c>
      <c r="O12" s="549"/>
      <c r="P12" s="549"/>
      <c r="Q12" s="547">
        <f>IF(ISNUMBER(Datos!P12),Datos!P12,0)</f>
        <v>124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30</v>
      </c>
      <c r="AI12" s="549" t="str">
        <f>IF(ISNUMBER(Datos!CD12),Datos!CD12,"-")</f>
        <v>-</v>
      </c>
      <c r="AJ12" s="549" t="str">
        <f>IF(ISNUMBER(Datos!EN12),Datos!EN12," - ")</f>
        <v xml:space="preserve"> - </v>
      </c>
      <c r="AK12" s="549"/>
      <c r="AL12" s="550"/>
      <c r="AM12" s="766">
        <f>IF(ISNUMBER(Datos!R12),Datos!R12," - ")</f>
        <v>2279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109</v>
      </c>
      <c r="BD12" s="693">
        <f>IF(ISNUMBER(Datos!N12),Datos!N12," - ")</f>
        <v>132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0.89598540145985406</v>
      </c>
      <c r="BH12" s="764">
        <f>IF(ISNUMBER(((IF(J_V="SI",Datos!L12/Datos!K12,(Datos!L12+Datos!AB12)/(Datos!K12+Datos!AA12)))*11)/factor_trimestre),((IF(J_V="SI",Datos!L12/Datos!K12,(Datos!L12+Datos!AB12)/(Datos!K12+Datos!AA12)))*11)/factor_trimestre," - ")</f>
        <v>6.067209775967414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4.2543458371454713E-2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26</v>
      </c>
      <c r="O14" s="1199">
        <f t="shared" si="1"/>
        <v>0</v>
      </c>
      <c r="P14" s="1199">
        <f t="shared" si="1"/>
        <v>0</v>
      </c>
      <c r="Q14" s="1198">
        <f t="shared" si="1"/>
        <v>126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33</v>
      </c>
      <c r="AD14" s="1198">
        <f t="shared" si="2"/>
        <v>0</v>
      </c>
      <c r="AE14" s="1198">
        <f t="shared" si="2"/>
        <v>0</v>
      </c>
      <c r="AF14" s="1198">
        <f t="shared" si="2"/>
        <v>7</v>
      </c>
      <c r="AG14" s="1198">
        <f t="shared" si="2"/>
        <v>0</v>
      </c>
      <c r="AH14" s="1198">
        <f t="shared" si="2"/>
        <v>30</v>
      </c>
      <c r="AI14" s="1198">
        <f t="shared" si="2"/>
        <v>0</v>
      </c>
      <c r="AJ14" s="1198">
        <f t="shared" si="2"/>
        <v>0</v>
      </c>
      <c r="AK14" s="1198">
        <f t="shared" si="2"/>
        <v>0</v>
      </c>
      <c r="AL14" s="1198">
        <f t="shared" si="2"/>
        <v>0</v>
      </c>
      <c r="AM14" s="1198">
        <f t="shared" si="2"/>
        <v>2279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111</v>
      </c>
      <c r="BD14" s="1198">
        <f t="shared" si="2"/>
        <v>132</v>
      </c>
      <c r="BE14" s="1198">
        <f t="shared" si="2"/>
        <v>0</v>
      </c>
      <c r="BF14" s="1198">
        <f t="shared" si="2"/>
        <v>0</v>
      </c>
      <c r="BG14" s="1198">
        <f>IF(ISNUMBER(Datos!K14/Datos!J14),Datos!K14/Datos!J14," - ")</f>
        <v>0.90494296577946765</v>
      </c>
      <c r="BH14" s="1202">
        <f>IF(ISNUMBER(((Datos!L14/Datos!K14)*11)/factor_trimestre),((Datos!L14/Datos!K14)*11)/factor_trimestre," - ")</f>
        <v>6.113445378151261</v>
      </c>
      <c r="BI14" s="1198">
        <f>IF(ISNUMBER('Resol  Asuntos'!D14/NºAsuntos!G14),'Resol  Asuntos'!D14/NºAsuntos!G14," - ")</f>
        <v>0.22515212981744423</v>
      </c>
      <c r="BJ14" s="1198" t="str">
        <f>IF(ISNUMBER(Datos!CI14/Datos!CJ14),Datos!CI14/Datos!CJ14," - ")</f>
        <v xml:space="preserve"> - </v>
      </c>
      <c r="BK14" s="1198">
        <f>SUBTOTAL(9,BK8:BK13)</f>
        <v>0</v>
      </c>
      <c r="BL14" s="1198">
        <f>IF(ISNUMBER((I14-AB14+L14)/(F14)),(I14-AB14+L14)/(F14)," - ")</f>
        <v>-0.4</v>
      </c>
      <c r="BM14" s="1203">
        <f>SUBTOTAL(9,BM9:BM13)</f>
        <v>4.2543458371454713E-2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656</v>
      </c>
      <c r="G17" s="743">
        <f>IF(ISNUMBER(IF(D_I="SI",Datos!I17,Datos!I17+Datos!AC17)),IF(D_I="SI",Datos!I17,Datos!I17+Datos!AC17)," - ")</f>
        <v>653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583</v>
      </c>
      <c r="AC17" s="240">
        <f>IF(ISNUMBER(Datos!Q17),Datos!Q17," - ")</f>
        <v>19</v>
      </c>
      <c r="AD17" s="374"/>
      <c r="AE17" s="562"/>
      <c r="AF17" s="741">
        <f>IF(ISNUMBER(IF(D_I="SI",Datos!L17,Datos!L17+Datos!AF17)),IF(D_I="SI",Datos!L17,Datos!L17+Datos!AF17)," - ")</f>
        <v>614</v>
      </c>
      <c r="AG17" s="374"/>
      <c r="AH17" s="374"/>
      <c r="AI17" s="374"/>
      <c r="AJ17" s="549"/>
      <c r="AK17" s="374"/>
      <c r="AL17" s="545"/>
      <c r="AM17" s="375">
        <f>IF(ISNUMBER(Datos!R17),Datos!R17," - ")</f>
        <v>73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63</v>
      </c>
      <c r="BD17" s="243">
        <f>IF(ISNUMBER(Datos!N17),Datos!N17," - ")</f>
        <v>378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1.0776340110905731</v>
      </c>
      <c r="BH17" s="764">
        <f>IF(ISNUMBER(((IF(D_I="SI",Datos!L17/Datos!K17,(Datos!L17+Datos!AF17)/(Datos!K17+Datos!AE17)))*11)/factor_trimestre),((IF(D_I="SI",Datos!L17/Datos!K17,(Datos!L17+Datos!AF17)/(Datos!K17+Datos!AE17)))*11)/factor_trimestre," - ")</f>
        <v>3.1595197255574612</v>
      </c>
      <c r="BI17" s="266">
        <f>IF(ISNUMBER('Resol  Asuntos'!D17/NºAsuntos!G17),'Resol  Asuntos'!D17/NºAsuntos!G17," - ")</f>
        <v>0.10806174957118353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51</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48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0.98076923076923073</v>
      </c>
      <c r="BH18" s="764">
        <f>IF(ISNUMBER(((IF(D_I="SI",Datos!L18/Datos!K18,(Datos!L18+Datos!AF18)/(Datos!K18+Datos!AE18)))*11)/factor_trimestre),((IF(D_I="SI",Datos!L18/Datos!K18,(Datos!L18+Datos!AF18)/(Datos!K18+Datos!AE18)))*11)/factor_trimestre," - ")</f>
        <v>0.88235294117647067</v>
      </c>
      <c r="BI18" s="763">
        <f>IF(ISNUMBER('Resol  Asuntos'!D18/NºAsuntos!G18),'Resol  Asuntos'!D18/NºAsuntos!G18," - ")</f>
        <v>0.19607843137254902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656</v>
      </c>
      <c r="G23" s="1197">
        <f>SUBTOTAL(9,G16:G22)</f>
        <v>667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634</v>
      </c>
      <c r="AC23" s="1198">
        <f t="shared" si="5"/>
        <v>19</v>
      </c>
      <c r="AD23" s="1198">
        <f t="shared" si="5"/>
        <v>0</v>
      </c>
      <c r="AE23" s="1198">
        <f t="shared" si="5"/>
        <v>0</v>
      </c>
      <c r="AF23" s="1198">
        <f t="shared" si="5"/>
        <v>629</v>
      </c>
      <c r="AG23" s="1198">
        <f t="shared" si="5"/>
        <v>0</v>
      </c>
      <c r="AH23" s="1198">
        <f t="shared" si="5"/>
        <v>0</v>
      </c>
      <c r="AI23" s="1198">
        <f t="shared" si="5"/>
        <v>0</v>
      </c>
      <c r="AJ23" s="1198">
        <f t="shared" si="5"/>
        <v>0</v>
      </c>
      <c r="AK23" s="1198">
        <f t="shared" si="5"/>
        <v>0</v>
      </c>
      <c r="AL23" s="1198">
        <f t="shared" si="5"/>
        <v>0</v>
      </c>
      <c r="AM23" s="1198">
        <f t="shared" si="5"/>
        <v>73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73</v>
      </c>
      <c r="BD23" s="1198">
        <f t="shared" si="5"/>
        <v>426</v>
      </c>
      <c r="BE23" s="1198">
        <f t="shared" si="5"/>
        <v>0</v>
      </c>
      <c r="BF23" s="1198">
        <f t="shared" si="5"/>
        <v>0</v>
      </c>
      <c r="BG23" s="1198">
        <f>IF(ISNUMBER(Datos!K23/Datos!J23),Datos!K23/Datos!J23," - ")</f>
        <v>1.0691399662731871</v>
      </c>
      <c r="BH23" s="1202">
        <f>IF(ISNUMBER(((Datos!L23/Datos!K23)*11)/factor_trimestre),((Datos!L23/Datos!K23)*11)/factor_trimestre," - ")</f>
        <v>2.9763406940063093</v>
      </c>
      <c r="BI23" s="1198">
        <f>SUBTOTAL(9,BI16:BI22)</f>
        <v>0.30414018094373252</v>
      </c>
      <c r="BJ23" s="1198">
        <f>SUBTOTAL(9,BJ16:BJ22)</f>
        <v>0</v>
      </c>
      <c r="BK23" s="1198">
        <f>SUBTOTAL(9,BK16:BK22)</f>
        <v>0</v>
      </c>
      <c r="BL23" s="1198">
        <f>IF(ISNUMBER((I23-AB23+L23)/(F23)),(I23-AB23+L23)/(F23)," - ")</f>
        <v>-0.96646341463414631</v>
      </c>
      <c r="BM23" s="1205">
        <f>IF(ISNUMBER((Datos!P23-Datos!Q23)/(Datos!R23-Datos!P23+Datos!Q23)),(Datos!P23-Datos!Q23)/(Datos!R23-Datos!P23+Datos!Q23)," - ")</f>
        <v>-7.5949367088607597E-2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661</v>
      </c>
      <c r="G31" s="1117">
        <f t="shared" si="18"/>
        <v>672</v>
      </c>
      <c r="H31" s="1119">
        <f t="shared" si="18"/>
        <v>0</v>
      </c>
      <c r="I31" s="1117">
        <f t="shared" si="18"/>
        <v>0</v>
      </c>
      <c r="J31" s="1119">
        <f t="shared" si="18"/>
        <v>0</v>
      </c>
      <c r="K31" s="1119">
        <f t="shared" si="18"/>
        <v>0</v>
      </c>
      <c r="L31" s="1180">
        <f t="shared" si="18"/>
        <v>0</v>
      </c>
      <c r="M31" s="1180">
        <f t="shared" si="18"/>
        <v>0</v>
      </c>
      <c r="N31" s="1180">
        <f t="shared" si="18"/>
        <v>26</v>
      </c>
      <c r="O31" s="1180">
        <f t="shared" si="18"/>
        <v>0</v>
      </c>
      <c r="P31" s="1180">
        <f t="shared" si="18"/>
        <v>0</v>
      </c>
      <c r="Q31" s="1119">
        <f t="shared" si="18"/>
        <v>139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636</v>
      </c>
      <c r="AC31" s="1118">
        <f t="shared" si="19"/>
        <v>52</v>
      </c>
      <c r="AD31" s="1118">
        <f t="shared" si="19"/>
        <v>0</v>
      </c>
      <c r="AE31" s="1118">
        <f t="shared" si="19"/>
        <v>0</v>
      </c>
      <c r="AF31" s="1125">
        <f t="shared" si="19"/>
        <v>636</v>
      </c>
      <c r="AG31" s="1125">
        <f t="shared" si="19"/>
        <v>0</v>
      </c>
      <c r="AH31" s="1125">
        <f t="shared" si="19"/>
        <v>30</v>
      </c>
      <c r="AI31" s="1125">
        <f t="shared" si="19"/>
        <v>0</v>
      </c>
      <c r="AJ31" s="1118">
        <f t="shared" si="19"/>
        <v>0</v>
      </c>
      <c r="AK31" s="1125">
        <f t="shared" si="19"/>
        <v>0</v>
      </c>
      <c r="AL31" s="1125">
        <f t="shared" si="19"/>
        <v>0</v>
      </c>
      <c r="AM31" s="1125">
        <f t="shared" si="19"/>
        <v>2352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184</v>
      </c>
      <c r="BD31" s="1117">
        <f t="shared" si="19"/>
        <v>558</v>
      </c>
      <c r="BE31" s="1117">
        <f t="shared" si="19"/>
        <v>0</v>
      </c>
      <c r="BF31" s="1127">
        <f t="shared" si="19"/>
        <v>0</v>
      </c>
      <c r="BG31" s="1223">
        <f>IF(ISNUMBER(Datos!K31/Datos!J31),Datos!K31/Datos!J31," - ")</f>
        <v>0.99195710455764075</v>
      </c>
      <c r="BH31" s="1223">
        <f>IF(ISNUMBER(((Datos!L31/Datos!K31)*11)/factor_trimestre),((Datos!L31/Datos!K31)*11)/factor_trimestre," - ")</f>
        <v>4.3216216216216221</v>
      </c>
      <c r="BI31" s="1103">
        <f>IF(ISNUMBER(Datos!J31/Datos!I31),Datos!J31/Datos!I31," - ")</f>
        <v>0.70510396975425327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-0.96217851739788196</v>
      </c>
      <c r="BM31" s="1188">
        <f>IF(ISNUMBER((Datos!P31-Datos!Q31+R31)/(Datos!R31-Datos!P31+Datos!Q31-R31)),(Datos!P31-Datos!Q31+R31)/(Datos!R31-Datos!P31+Datos!Q31-R31)," - ")</f>
        <v>3.8410596026490065E-2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337.47335697306039</v>
      </c>
      <c r="G33" s="674">
        <f>IF(ISNUMBER(STDEV(G8:G30)),STDEV(G8:G30),"-")</f>
        <v>319.76449667424515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292.49314196274429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48.808664336219181</v>
      </c>
      <c r="BD33" s="673"/>
      <c r="BE33" s="673">
        <f>IF(ISNUMBER(STDEV(BE8:BE30)),STDEV(BE8:BE30),"-")</f>
        <v>0</v>
      </c>
      <c r="BF33" s="678">
        <f>IF(ISNUMBER(STDEV(BF8:BF30)),STDEV(BF8:BF30),"-")</f>
        <v>0</v>
      </c>
      <c r="BG33" s="1052">
        <f>IF(ISNUMBER(STDEV(BG8:BG30)),STDEV(BG8:BG30),"-")</f>
        <v>0.21288085096481327</v>
      </c>
      <c r="BH33" s="1058">
        <f>IF(ISNUMBER(STDEV(BH8:BH30)),STDEV(BH8:BH30),"-")</f>
        <v>3.3779036659603321</v>
      </c>
      <c r="BI33" s="273">
        <f>IF(ISNUMBER(STDEV(BI8:BI30)),STDEV(BI8:BI30),"-")</f>
        <v>8.0965825379927595E-2</v>
      </c>
      <c r="BJ33" s="244" t="str">
        <f>IF(ISNUMBER(BL33/BM33),BL33/BM33," - ")</f>
        <v xml:space="preserve"> - </v>
      </c>
      <c r="BK33" s="709"/>
      <c r="BL33" s="681">
        <f>IF(ISNUMBER(STDEV(BL8:BL30)),STDEV(BL8:BL30),"-")</f>
        <v>0.40055012178189209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EEQ6+yqeKr5mgoq/uVIudNXkyZWios0R7oyAqf4x0etVo9lEsk8ZWZVRi6ZR5aAPG/AtBBPE/VV5+dR0Gzd4g==" saltValue="M3X5XIiE3uOuk1X21io2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PUERTO DE LA CRUZ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2</v>
      </c>
      <c r="AA10" s="551">
        <f>IF(ISNUMBER(Datos!L10),Datos!L10,"-")</f>
        <v>7</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v>
      </c>
      <c r="AA12" s="551" t="str">
        <f>IF(ISNUMBER(IF(J_V="SI",Datos!L12,Datos!L12+Datos!AB12)-IF(Monitorios="SI",Datos!CD12,0)),
                          IF(J_V="SI",Datos!L12,Datos!L12+Datos!AB12)-IF(Monitorios="SI",Datos!CD12,0),
                          " - ")</f>
        <v xml:space="preserve"> - </v>
      </c>
      <c r="AB12" s="549"/>
      <c r="AC12" s="549"/>
      <c r="AD12" s="563"/>
      <c r="AE12" s="563">
        <f>IF(ISNUMBER(Datos!R12),Datos!R12," - ")</f>
        <v>2279</v>
      </c>
      <c r="AF12" s="693" t="str">
        <f>IF(ISNUMBER(Datos!BV12),Datos!BV12," - ")</f>
        <v xml:space="preserve"> - </v>
      </c>
      <c r="AG12" s="552" t="str">
        <f>IF(ISNUMBER(Datos!DV12),Datos!DV12," - ")</f>
        <v xml:space="preserve"> - </v>
      </c>
      <c r="AH12" s="553"/>
      <c r="AI12" s="554"/>
      <c r="AJ12" s="552">
        <f>IF(ISNUMBER(Datos!M12),Datos!M12," - ")</f>
        <v>109</v>
      </c>
      <c r="AK12" s="693">
        <f>IF(ISNUMBER(Datos!N12),Datos!N12," - ")</f>
        <v>132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6.067209775967414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4.2543458371454713E-2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126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33</v>
      </c>
      <c r="AA14" s="1199">
        <f t="shared" si="3"/>
        <v>7</v>
      </c>
      <c r="AB14" s="1199">
        <f t="shared" si="3"/>
        <v>0</v>
      </c>
      <c r="AC14" s="1199">
        <f t="shared" si="3"/>
        <v>0</v>
      </c>
      <c r="AD14" s="1199">
        <f t="shared" si="3"/>
        <v>0</v>
      </c>
      <c r="AE14" s="1199">
        <f t="shared" si="3"/>
        <v>2279</v>
      </c>
      <c r="AF14" s="1211">
        <f t="shared" si="3"/>
        <v>0</v>
      </c>
      <c r="AG14" s="1211">
        <f t="shared" si="3"/>
        <v>0</v>
      </c>
      <c r="AH14" s="1211">
        <f t="shared" si="3"/>
        <v>0</v>
      </c>
      <c r="AI14" s="1211">
        <f t="shared" si="3"/>
        <v>0</v>
      </c>
      <c r="AJ14" s="1211">
        <f t="shared" si="3"/>
        <v>111</v>
      </c>
      <c r="AK14" s="1211">
        <f t="shared" si="3"/>
        <v>132</v>
      </c>
      <c r="AL14" s="1211">
        <f t="shared" si="3"/>
        <v>0</v>
      </c>
      <c r="AM14" s="1211">
        <f t="shared" si="3"/>
        <v>0</v>
      </c>
      <c r="AN14" s="1211">
        <f t="shared" si="3"/>
        <v>0</v>
      </c>
      <c r="AO14" s="1203">
        <f>IF(ISNUMBER(((NºAsuntos!I14/NºAsuntos!G14)*11)/factor_trimestre),((NºAsuntos!I14/NºAsuntos!G14)*11)/factor_trimestre," - ")</f>
        <v>6.0851926977687629</v>
      </c>
      <c r="AP14" s="1213" t="str">
        <f>IF(ISNUMBER(Datos!CI14/Datos!CJ14),Datos!CI14/Datos!CJ14," - ")</f>
        <v xml:space="preserve"> - </v>
      </c>
      <c r="AQ14" s="1236">
        <f t="shared" ref="AQ14:AV14" si="4">SUBTOTAL(9,AQ9:AQ13)</f>
        <v>0</v>
      </c>
      <c r="AR14" s="1236">
        <f t="shared" si="4"/>
        <v>4.2543458371454713E-2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656</v>
      </c>
      <c r="G17" s="552">
        <f>IF(ISNUMBER(IF(D_I="SI",Datos!I17,Datos!I17+Datos!AC17)),IF(D_I="SI",Datos!I17,Datos!I17+Datos!AC17)," - ")</f>
        <v>653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583</v>
      </c>
      <c r="Z17" s="805">
        <f>IF(ISNUMBER(Datos!Q17),Datos!Q17," - ")</f>
        <v>19</v>
      </c>
      <c r="AA17" s="551">
        <f>IF(ISNUMBER(IF(D_I="SI",Datos!L17,Datos!L17+Datos!AF17)),IF(D_I="SI",Datos!L17,Datos!L17+Datos!AF17)," - ")</f>
        <v>614</v>
      </c>
      <c r="AB17" s="549"/>
      <c r="AC17" s="549"/>
      <c r="AD17" s="563"/>
      <c r="AE17" s="563">
        <f>IF(ISNUMBER(Datos!R17),Datos!R17," - ")</f>
        <v>73</v>
      </c>
      <c r="AF17" s="693" t="str">
        <f>IF(ISNUMBER(Datos!BV17),Datos!BV17," - ")</f>
        <v xml:space="preserve"> - </v>
      </c>
      <c r="AG17" s="552"/>
      <c r="AH17" s="553"/>
      <c r="AI17" s="554"/>
      <c r="AJ17" s="552">
        <f>IF(ISNUMBER(Datos!M17),Datos!M17," - ")</f>
        <v>63</v>
      </c>
      <c r="AK17" s="693">
        <f>IF(ISNUMBER(Datos!N17),Datos!N17," - ")</f>
        <v>378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3.1595197255574612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51</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10</v>
      </c>
      <c r="AK18" s="693">
        <f>IF(ISNUMBER(Datos!N18),Datos!N18," - ")</f>
        <v>48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0.88235294117647067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656</v>
      </c>
      <c r="G23" s="1197">
        <f>SUBTOTAL(9,G16:G22)</f>
        <v>667</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634</v>
      </c>
      <c r="Z23" s="1240">
        <f t="shared" si="6"/>
        <v>19</v>
      </c>
      <c r="AA23" s="1240">
        <f t="shared" si="6"/>
        <v>629</v>
      </c>
      <c r="AB23" s="1240">
        <f t="shared" si="6"/>
        <v>0</v>
      </c>
      <c r="AC23" s="1240">
        <f t="shared" si="6"/>
        <v>0</v>
      </c>
      <c r="AD23" s="1240">
        <f t="shared" si="6"/>
        <v>0</v>
      </c>
      <c r="AE23" s="1240">
        <f t="shared" si="6"/>
        <v>73</v>
      </c>
      <c r="AF23" s="1240">
        <f t="shared" si="6"/>
        <v>0</v>
      </c>
      <c r="AG23" s="1240">
        <f t="shared" si="6"/>
        <v>0</v>
      </c>
      <c r="AH23" s="1240">
        <f t="shared" si="6"/>
        <v>0</v>
      </c>
      <c r="AI23" s="1240">
        <f t="shared" si="6"/>
        <v>0</v>
      </c>
      <c r="AJ23" s="1240">
        <f t="shared" si="6"/>
        <v>73</v>
      </c>
      <c r="AK23" s="1240">
        <f t="shared" si="6"/>
        <v>426</v>
      </c>
      <c r="AL23" s="1240">
        <f t="shared" si="6"/>
        <v>0</v>
      </c>
      <c r="AM23" s="1240">
        <f t="shared" si="6"/>
        <v>0</v>
      </c>
      <c r="AN23" s="1240">
        <f t="shared" si="6"/>
        <v>0</v>
      </c>
      <c r="AO23" s="1242">
        <f>IF(ISNUMBER(((NºAsuntos!I23/NºAsuntos!G23)*11)/factor_trimestre),((NºAsuntos!I23/NºAsuntos!G23)*11)/factor_trimestre," - ")</f>
        <v>2.9763406940063093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661</v>
      </c>
      <c r="G31" s="1117">
        <f t="shared" si="12"/>
        <v>672</v>
      </c>
      <c r="H31" s="1118">
        <f t="shared" si="12"/>
        <v>0</v>
      </c>
      <c r="I31" s="1117">
        <f t="shared" si="12"/>
        <v>0</v>
      </c>
      <c r="J31" s="1119">
        <f t="shared" si="12"/>
        <v>0</v>
      </c>
      <c r="K31" s="1117">
        <f t="shared" si="12"/>
        <v>0</v>
      </c>
      <c r="L31" s="1120">
        <f t="shared" si="12"/>
        <v>0</v>
      </c>
      <c r="M31" s="1117">
        <f t="shared" si="12"/>
        <v>0</v>
      </c>
      <c r="N31" s="1118">
        <f t="shared" si="12"/>
        <v>139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636</v>
      </c>
      <c r="Z31" s="1124">
        <f t="shared" si="13"/>
        <v>52</v>
      </c>
      <c r="AA31" s="1125">
        <f t="shared" si="13"/>
        <v>636</v>
      </c>
      <c r="AB31" s="1125">
        <f t="shared" si="13"/>
        <v>0</v>
      </c>
      <c r="AC31" s="1125">
        <f t="shared" si="13"/>
        <v>0</v>
      </c>
      <c r="AD31" s="1126">
        <f t="shared" si="13"/>
        <v>0</v>
      </c>
      <c r="AE31" s="1126">
        <f t="shared" si="13"/>
        <v>2352</v>
      </c>
      <c r="AF31" s="1127">
        <f t="shared" si="13"/>
        <v>0</v>
      </c>
      <c r="AG31" s="1128">
        <f t="shared" si="13"/>
        <v>0</v>
      </c>
      <c r="AH31" s="1129">
        <f t="shared" si="13"/>
        <v>0</v>
      </c>
      <c r="AI31" s="1127">
        <f t="shared" si="13"/>
        <v>0</v>
      </c>
      <c r="AJ31" s="1117">
        <f t="shared" si="13"/>
        <v>184</v>
      </c>
      <c r="AK31" s="1117">
        <f t="shared" si="13"/>
        <v>558</v>
      </c>
      <c r="AL31" s="1117">
        <f t="shared" si="13"/>
        <v>0</v>
      </c>
      <c r="AM31" s="1130">
        <f t="shared" si="13"/>
        <v>0</v>
      </c>
      <c r="AN31" s="1120">
        <f>IF(ISNUMBER(Datos!K31/Datos!J31),Datos!K31/Datos!J31," - ")</f>
        <v>0.99195710455764075</v>
      </c>
      <c r="AO31" s="1120">
        <f>IF(ISNUMBER(FIND("06",Criterios!A8,1)),(IF(ISNUMBER(((Datos!R31/Datos!Q31)*11)/factor_trimestre),((Datos!R31/Datos!Q31)*11)/factor_trimestre," - ")),(IF(ISNUMBER(((Datos!L31/Datos!K31)*11)/factor_trimestre),((Datos!L31/Datos!K31)*11)/factor_trimestre," - ")))</f>
        <v>4.3216216216216221</v>
      </c>
      <c r="AP31" s="1131" t="str">
        <f>IF(ISNUMBER(Datos!CI31/Datos!CJ31),Datos!CI31/Datos!CJ31," - ")</f>
        <v xml:space="preserve"> - </v>
      </c>
      <c r="AQ31" s="1131">
        <f>IF(OR(ISNUMBER(FIND("01",Criterios!A8,1)),ISNUMBER(FIND("02",Criterios!A8,1)),ISNUMBER(FIND("03",Criterios!A8,1)),ISNUMBER(FIND("04",Criterios!A8,1))),(J31-Y31+K31)/(F31-K31),(I31-Y31+K31)/(F31-K31))</f>
        <v>-0.96217851739788196</v>
      </c>
      <c r="AR31" s="1131">
        <f>IF(ISNUMBER((Datos!P31-Datos!Q31+O31)/(Datos!R31-Datos!P31+Datos!Q31-O31)),(Datos!P31-Datos!Q31+O31)/(Datos!R31-Datos!P31+Datos!Q31-O31)," - ")</f>
        <v>3.8410596026490065E-2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337.47335697306039</v>
      </c>
      <c r="G33" s="674">
        <f>IF(ISNUMBER(STDEV(G8:G30)),STDEV(G8:G30),"-")</f>
        <v>319.76449667424515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48.808664336219181</v>
      </c>
      <c r="AK33" s="276"/>
      <c r="AL33" s="276">
        <f>IF(ISNUMBER(STDEV(AL8:AL30)),STDEV(AL8:AL30),"-")</f>
        <v>0</v>
      </c>
      <c r="AM33" s="278">
        <f>IF(ISNUMBER(STDEV(AM8:AM30)),STDEV(AM8:AM30),"-")</f>
        <v>0</v>
      </c>
      <c r="AN33" s="660">
        <f>IF(ISNUMBER(STDEV(AN8:AN30)),STDEV(AN8:AN30),"-")</f>
        <v>0</v>
      </c>
      <c r="AO33" s="661">
        <f>IF(ISNUMBER(STDEV(AO8:AO30)),STDEV(AO8:AO30),"-")</f>
        <v>3.375976288547649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baEfNFoKty0RQqnyW2W7PfQ7FlbLkufKp2iO/VVcTRbwPH5OvMvVi5Ir3V7/Q8MdjiorMi43v15sYROQ9LXTw==" saltValue="lncLt7rzgh13SNxqVy6X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LlUw7zJhCVBlxXrvyUeAC7XzCkyNE6R0Kn8n8lGbfCvvtAm9BPec+hemag3SIeglu6K5Z4xmgPO5oDce13cng==" saltValue="eJEObGGEuVgkNYXtxliT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YG6Axx/rh/2hy7QY8IN8gEzPNKekfKe9kTVzUMPX6nEuFAYtgPsEkhp5ILg9CmirqeBrMhuTnsLX15RlJe3nA==" saltValue="K66fDZGbFA3epq2Bfljn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PUERTO DE LA CRUZ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0.22515212981744423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0.15920659779250868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xC9sfVNOV0rv7SzOCSst8cOsAxQXr11ZzCua+HSaqJ0o6iO17N6wu+kpQiv0v/2sTo14p7xoLGp4JkbrFsCY1w==" saltValue="aAPPLCcsInwzeXqeCymE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PDp7GPvLCn6/ujGJMtiy1kiRi860OMP/u6ti9X057DEXbx/Emc+I9NCXRpSsge4gMreDy53hCkqOxFUIfvldA==" saltValue="Jjpa/JqmBPpGR3KWBQLy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PUERTO DE LA CRUZ</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4</v>
      </c>
      <c r="F10" s="452">
        <f>IF(ISNUMBER(E10/B10),E10/B10," - ")</f>
        <v>4</v>
      </c>
      <c r="G10" s="451">
        <f>IF(ISNUMBER(Datos!K10),Datos!K10," - ")</f>
        <v>2</v>
      </c>
      <c r="H10" s="452">
        <f>IF(ISNUMBER(G10/B10),G10/B10," - ")</f>
        <v>2</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936</v>
      </c>
      <c r="D12" s="452">
        <f>IF(ISNUMBER(C12/Datos!BH12),C12/Datos!BH12," - ")</f>
        <v>312</v>
      </c>
      <c r="E12" s="451">
        <f>IF(ISNUMBER(IF(J_V="SI",Datos!J12,Datos!J12+Datos!Z12)),IF(J_V="SI",Datos!J12,Datos!J12+Datos!Z12)," - ")</f>
        <v>548</v>
      </c>
      <c r="F12" s="452">
        <f>IF(ISNUMBER(E12/B12),E12/B12," - ")</f>
        <v>182.66666666666666</v>
      </c>
      <c r="G12" s="451">
        <f>IF(ISNUMBER(IF(J_V="SI",Datos!K12,Datos!K12+Datos!AA12)),IF(J_V="SI",Datos!K12,Datos!K12+Datos!AA12)," - ")</f>
        <v>491</v>
      </c>
      <c r="H12" s="452">
        <f>IF(ISNUMBER(G12/B12),G12/B12," - ")</f>
        <v>163.66666666666666</v>
      </c>
      <c r="I12" s="451">
        <f>IF(ISNUMBER(IF(J_V="SI",Datos!L12,Datos!L12+Datos!AB12)),IF(J_V="SI",Datos!L12,Datos!L12+Datos!AB12)," - ")</f>
        <v>993</v>
      </c>
      <c r="J12" s="452">
        <f>IF(ISNUMBER(I12/B12),I12/B12," - ")</f>
        <v>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941</v>
      </c>
      <c r="D14" s="1147" t="str">
        <f>IF(ISNUMBER(C14/Datos!BI14),C14/Datos!BI14," - ")</f>
        <v xml:space="preserve"> - </v>
      </c>
      <c r="E14" s="1146">
        <f>SUBTOTAL(9,E8:E13)</f>
        <v>552</v>
      </c>
      <c r="F14" s="1147">
        <f>IF(ISNUMBER(E14/B14),E14/B14," - ")</f>
        <v>184</v>
      </c>
      <c r="G14" s="1146">
        <f>SUBTOTAL(9,G8:G13)</f>
        <v>493</v>
      </c>
      <c r="H14" s="1147">
        <f>IF(ISNUMBER(G14/B14),G14/B14," - ")</f>
        <v>164.33333333333334</v>
      </c>
      <c r="I14" s="1146">
        <f>SUBTOTAL(9,I8:I13)</f>
        <v>1000</v>
      </c>
      <c r="J14" s="1147">
        <f>IF(ISNUMBER(I14/B14),I14/B14," - ")</f>
        <v>333.33333333333331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653</v>
      </c>
      <c r="D17" s="452">
        <f>IF(ISNUMBER(C17/Datos!BH17),C17/Datos!BH17," - ")</f>
        <v>217.66666666666666</v>
      </c>
      <c r="E17" s="451">
        <f>IF(ISNUMBER(IF(D_I="SI",Datos!J17,Datos!J17+Datos!AD17)),IF(D_I="SI",Datos!J17,Datos!J17+Datos!AD17)," - ")</f>
        <v>541</v>
      </c>
      <c r="F17" s="452">
        <f>IF(ISNUMBER(E17/B17),E17/B17," - ")</f>
        <v>180.33333333333334</v>
      </c>
      <c r="G17" s="451">
        <f>IF(ISNUMBER(IF(D_I="SI",Datos!K17,Datos!K17+Datos!AE17)),IF(D_I="SI",Datos!K17,Datos!K17+Datos!AE17)," - ")</f>
        <v>583</v>
      </c>
      <c r="H17" s="452">
        <f>IF(ISNUMBER(G17/B17),G17/B17," - ")</f>
        <v>194.33333333333334</v>
      </c>
      <c r="I17" s="451">
        <f>IF(ISNUMBER(IF(D_I="SI",Datos!L17,Datos!L17+Datos!AF17)),IF(D_I="SI",Datos!L17,Datos!L17+Datos!AF17)," - ")</f>
        <v>614</v>
      </c>
      <c r="J17" s="452">
        <f>IF(ISNUMBER(I17/B17),I17/B17," - ")</f>
        <v>204.66666666666666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52</v>
      </c>
      <c r="F18" s="452">
        <f>IF(ISNUMBER(E18/B18),E18/B18," - ")</f>
        <v>52</v>
      </c>
      <c r="G18" s="451">
        <f>IF(ISNUMBER(IF(D_I="SI",Datos!K18,Datos!K18+Datos!AE18)),IF(D_I="SI",Datos!K18,Datos!K18+Datos!AE18)," - ")</f>
        <v>51</v>
      </c>
      <c r="H18" s="452">
        <f>IF(ISNUMBER(G18/B18),G18/B18," - ")</f>
        <v>51</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667</v>
      </c>
      <c r="D23" s="1147" t="str">
        <f>IF(ISNUMBER(C23/Datos!BI23),C23/Datos!BI23," - ")</f>
        <v xml:space="preserve"> - </v>
      </c>
      <c r="E23" s="1146">
        <f>SUBTOTAL(9,E15:E22)</f>
        <v>593</v>
      </c>
      <c r="F23" s="1147">
        <f>IF(ISNUMBER(E23/B23),E23/B23," - ")</f>
        <v>197.66666666666666</v>
      </c>
      <c r="G23" s="1146">
        <f>SUBTOTAL(9,G15:G22)</f>
        <v>634</v>
      </c>
      <c r="H23" s="1147">
        <f>IF(ISNUMBER(G23/B23),G23/B23," - ")</f>
        <v>211.33333333333334</v>
      </c>
      <c r="I23" s="1146">
        <f>SUBTOTAL(9,I15:I22)</f>
        <v>629</v>
      </c>
      <c r="J23" s="1147">
        <f>IF(ISNUMBER(I23/B23),I23/B23," - ")</f>
        <v>209.66666666666666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1608</v>
      </c>
      <c r="D31" s="1085" t="str">
        <f>IF(ISNUMBER(C31/Datos!BI31),C31/Datos!BI31," - ")</f>
        <v xml:space="preserve"> - </v>
      </c>
      <c r="E31" s="1084">
        <f>SUBTOTAL(9,E9:E30)</f>
        <v>1145</v>
      </c>
      <c r="F31" s="1085">
        <f>IF(ISNUMBER(E31/B31),E31/B31," - ")</f>
        <v>381.66666666666669</v>
      </c>
      <c r="G31" s="1084">
        <f>SUBTOTAL(9,G9:G30)</f>
        <v>1127</v>
      </c>
      <c r="H31" s="1085">
        <f>IF(ISNUMBER(G31/B31),G31/B31," - ")</f>
        <v>375.66666666666669</v>
      </c>
      <c r="I31" s="1084">
        <f>SUBTOTAL(9,I9:I30)</f>
        <v>1629</v>
      </c>
      <c r="J31" s="1085">
        <f>IF(ISNUMBER(I31/B31),I31/B31," - ")</f>
        <v>543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KTlcQDwtXDEop6n/O80GStLnYyeO7TamyJA9bQY9XFATh+3zZ/Is4ms7l3AvI/NgQZarl+uhkL7R7fmbVdVzA==" saltValue="vHUMsRFaidawfrYCEALua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PUERTO DE LA CRUZ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2279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109</v>
      </c>
      <c r="AM12" s="914">
        <f>IF(ISNUMBER(Datos!N12+DatosP!N17),Datos!N12+DatosP!N17," - ")</f>
        <v>132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6.067209775967414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4.2543458371454713E-2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126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31</v>
      </c>
      <c r="AE14" s="1257">
        <f t="shared" si="1"/>
        <v>0</v>
      </c>
      <c r="AF14" s="1257">
        <f t="shared" si="1"/>
        <v>7</v>
      </c>
      <c r="AG14" s="1257">
        <f t="shared" si="1"/>
        <v>0</v>
      </c>
      <c r="AH14" s="1257">
        <f t="shared" si="1"/>
        <v>2279</v>
      </c>
      <c r="AI14" s="1257">
        <f t="shared" si="1"/>
        <v>0</v>
      </c>
      <c r="AJ14" s="1257">
        <f t="shared" si="1"/>
        <v>0</v>
      </c>
      <c r="AK14" s="1257">
        <f t="shared" si="1"/>
        <v>0</v>
      </c>
      <c r="AL14" s="1257">
        <f t="shared" si="1"/>
        <v>111</v>
      </c>
      <c r="AM14" s="1257">
        <f t="shared" si="1"/>
        <v>132</v>
      </c>
      <c r="AN14" s="1257">
        <f t="shared" si="1"/>
        <v>0</v>
      </c>
      <c r="AO14" s="1257">
        <f t="shared" si="1"/>
        <v>0</v>
      </c>
      <c r="AP14" s="1262">
        <f>IF(ISNUMBER(((Datos!L14/Datos!K14)*11)/factor_trimestre),((Datos!L14/Datos!K14)*11)/factor_trimestre," - ")</f>
        <v>6.113445378151261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4.2543458371454713E-2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2.9763406940063093</v>
      </c>
      <c r="AQ23" s="1262">
        <f>IF(ISNUMBER(((Datos!M23/Datos!L23)*11)/factor_trimestre),((Datos!M23/Datos!L23)*11)/factor_trimestre," - ")</f>
        <v>0.3481717011128776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-7.5949367088607597E-2</v>
      </c>
      <c r="AW23" s="1265">
        <f>IF(ISNUMBER((Datos!Q23-Datos!R23)/(Datos!S23-Datos!Q23+Datos!R23)),(Datos!Q23-Datos!R23)/(Datos!S23-Datos!Q23+Datos!R23)," - ")</f>
        <v>-0.12080536912751678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126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31</v>
      </c>
      <c r="AE31" s="1284">
        <f t="shared" si="9"/>
        <v>0</v>
      </c>
      <c r="AF31" s="1285">
        <f t="shared" si="9"/>
        <v>7</v>
      </c>
      <c r="AG31" s="1285">
        <f t="shared" si="9"/>
        <v>0</v>
      </c>
      <c r="AH31" s="1285">
        <f t="shared" si="9"/>
        <v>2279</v>
      </c>
      <c r="AI31" s="1285">
        <f t="shared" si="9"/>
        <v>0</v>
      </c>
      <c r="AJ31" s="1286">
        <f t="shared" si="9"/>
        <v>0</v>
      </c>
      <c r="AK31" s="1286">
        <f t="shared" si="9"/>
        <v>0</v>
      </c>
      <c r="AL31" s="1278">
        <f t="shared" si="9"/>
        <v>111</v>
      </c>
      <c r="AM31" s="1278">
        <f t="shared" si="9"/>
        <v>132</v>
      </c>
      <c r="AN31" s="1278">
        <f t="shared" si="9"/>
        <v>0</v>
      </c>
      <c r="AO31" s="1278">
        <f t="shared" si="9"/>
        <v>0</v>
      </c>
      <c r="AP31" s="1278">
        <f>IF(ISNUMBER(((Datos!L31/Datos!K31)*11)/factor_trimestre),((Datos!L31/Datos!K31)*11)/factor_trimestre," - ")</f>
        <v>4.3216216216216221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3.8410596026490065E-2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56.554398591091037</v>
      </c>
      <c r="AM33" s="1006"/>
      <c r="AN33" s="1006">
        <f>IF(ISNUMBER(STDEV(AN8:AN30)),STDEV(AN8:AN30),"-")</f>
        <v>0</v>
      </c>
      <c r="AO33" s="1012">
        <f>IF(ISNUMBER(STDEV(AO8:AO30)),STDEV(AO8:AO30),"-")</f>
        <v>0</v>
      </c>
      <c r="AP33" s="1065">
        <f>IF(ISNUMBER(STDEV(AP8:AP30)),STDEV(AP8:AP30),"-")</f>
        <v>3.0942685617312886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9ro+8iuZ7THgpKSnHE7ei9JuUk90fJqjm1do/eO3ZkNdCxfUAvMmTOiFvPrkIitXqY4oO3XPE1jzijJUWTP9A==" saltValue="PnlVwsRbctjFciEAmQZQ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PUERTO DE LA CRUZ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I57ncUA7AN+SZvHUd53GvYGKSnrUK8Hbyi4MQrivd4c5ZSy1mCsawXFgzvNz73OA7lzKRoA5FRrDdWieP5R1A==" saltValue="L7RPx3KWpHOjADN0M0VZ3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PUERTO DE LA CRUZ</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109</v>
      </c>
      <c r="E12" s="452">
        <f t="shared" si="0"/>
        <v>36.333333333333336</v>
      </c>
      <c r="F12" s="451">
        <f>IF(ISNUMBER(Datos!N12),Datos!N12," - ")</f>
        <v>132</v>
      </c>
      <c r="G12" s="452">
        <f t="shared" si="1"/>
        <v>44</v>
      </c>
      <c r="H12" s="451">
        <f>IF(ISNUMBER(Datos!O12),Datos!O12," - ")</f>
        <v>84</v>
      </c>
      <c r="I12" s="452">
        <f t="shared" si="2"/>
        <v>28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111</v>
      </c>
      <c r="E14" s="1147">
        <f t="shared" si="0"/>
        <v>27.75</v>
      </c>
      <c r="F14" s="1146">
        <f>SUBTOTAL(9,F9:F13)</f>
        <v>132</v>
      </c>
      <c r="G14" s="1147">
        <f t="shared" si="1"/>
        <v>33</v>
      </c>
      <c r="H14" s="1146">
        <f>SUBTOTAL(9,H9:H13)</f>
        <v>84</v>
      </c>
      <c r="I14" s="1147">
        <f>IF(ISNUMBER(H14/B14),H14/B14," - ")</f>
        <v>21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63</v>
      </c>
      <c r="E17" s="452">
        <f t="shared" si="3"/>
        <v>21</v>
      </c>
      <c r="F17" s="451">
        <f>IF(ISNUMBER(Datos!N17),Datos!N17," - ")</f>
        <v>378</v>
      </c>
      <c r="G17" s="452">
        <f t="shared" si="4"/>
        <v>126</v>
      </c>
      <c r="H17" s="451">
        <f>IF(ISNUMBER(Datos!O17),Datos!O17," - ")</f>
        <v>4</v>
      </c>
      <c r="I17" s="452">
        <f t="shared" si="5"/>
        <v>1.3333333333333333</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48</v>
      </c>
      <c r="G18" s="452">
        <f>IF(ISNUMBER(F18/B18),F18/B18," - ")</f>
        <v>48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73</v>
      </c>
      <c r="E23" s="1147">
        <f t="shared" si="3"/>
        <v>18.25</v>
      </c>
      <c r="F23" s="1146">
        <f>SUBTOTAL(9,F16:F22)</f>
        <v>426</v>
      </c>
      <c r="G23" s="1147">
        <f t="shared" si="4"/>
        <v>106.5</v>
      </c>
      <c r="H23" s="1146">
        <f>SUBTOTAL(9,H16:H22)</f>
        <v>4</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184</v>
      </c>
      <c r="E31" s="1085">
        <f>IF(ISNUMBER(D31/B31),D31/B31," - ")</f>
        <v>61.333333333333336</v>
      </c>
      <c r="F31" s="1084">
        <f>SUBTOTAL(9,F8:F30)</f>
        <v>558</v>
      </c>
      <c r="G31" s="1085">
        <f>IF(ISNUMBER(F31/B31),F31/B31," - ")</f>
        <v>186</v>
      </c>
      <c r="H31" s="1084">
        <f>SUBTOTAL(9,H8:H30)</f>
        <v>88</v>
      </c>
      <c r="I31" s="1085">
        <f>IF(ISNUMBER(H31/B31),H31/B31," - ")</f>
        <v>29.333333333333332</v>
      </c>
    </row>
    <row r="34" spans="1:1">
      <c r="A34" s="439" t="str">
        <f>Criterios!A4</f>
        <v>Fecha Informe: 06 may. 2023</v>
      </c>
    </row>
    <row r="39" spans="1:1">
      <c r="A39" s="462"/>
    </row>
  </sheetData>
  <sheetProtection algorithmName="SHA-512" hashValue="wsbvhxwczMl+n3JnotG3ebvVLQLo9/on/vnCcDwY2owLXXf/BfM95/7PdqvrGz1XDHuPpWWoIuY/G/jMZxljpQ==" saltValue="vv+iUWSTD0cDPfVnQvOQ0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PUERTO DE LA CRUZ</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124</v>
      </c>
      <c r="C12" s="489">
        <f>IF(ISNUMBER(Datos!Q12),Datos!Q12," - ")</f>
        <v>31</v>
      </c>
      <c r="D12" s="456">
        <f>IF(ISNUMBER(Datos!R12),Datos!R12," - ")</f>
        <v>2279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126</v>
      </c>
      <c r="C14" s="1150">
        <f>SUBTOTAL(9,C9:C13)</f>
        <v>33</v>
      </c>
      <c r="D14" s="1148">
        <f>SUBTOTAL(9,D9:D13)</f>
        <v>2279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19</v>
      </c>
      <c r="D17" s="456">
        <f>IF(ISNUMBER(Datos!R17),Datos!R17," - ")</f>
        <v>73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19</v>
      </c>
      <c r="D23" s="1148">
        <f>SUBTOTAL(9,D16:D22)</f>
        <v>73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139</v>
      </c>
      <c r="C31" s="1089">
        <f>SUBTOTAL(9,C8:C30)</f>
        <v>52</v>
      </c>
      <c r="D31" s="1090">
        <f>SUBTOTAL(9,D8:D30)</f>
        <v>2352</v>
      </c>
    </row>
    <row r="32" spans="1:4" ht="7.5" customHeight="1"/>
    <row r="33" spans="1:1" ht="6" customHeight="1"/>
    <row r="34" spans="1:1">
      <c r="A34" s="439" t="str">
        <f>Criterios!A4</f>
        <v>Fecha Informe: 06 may. 2023</v>
      </c>
    </row>
    <row r="39" spans="1:1">
      <c r="A39" s="462"/>
    </row>
  </sheetData>
  <sheetProtection algorithmName="SHA-512" hashValue="owTBftVggX9oh9gar//lV25KScxu7zCwudIhr+s3sFV/5sPrvlz81BDcyhkGnruEtmfBr6YzpETqjAqdwCDonw==" saltValue="+psi9xE3PEU21h3wOR8x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PUERTO DE LA CRUZ</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1</v>
      </c>
      <c r="D10" s="515">
        <f>IF(ISNUMBER((Datos!K10-Datos!U10)/Datos!U10),(Datos!K10-Datos!U10)/Datos!U10," - ")</f>
        <v>0</v>
      </c>
      <c r="E10" s="515">
        <f>IF(ISNUMBER((Datos!L10-Datos!V10)/Datos!V10),(Datos!L10-Datos!V10)/Datos!V10," - ")</f>
        <v>0.75</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0.75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9.7087378640776691E-3</v>
      </c>
      <c r="C12" s="515">
        <f>IF(ISNUMBER(
   IF(J_V="SI",(Datos!J12-Datos!T12)/Datos!T12,(Datos!J12+Datos!Z12-(Datos!T12+Datos!AH12))/(Datos!T12+Datos!AH12))
     ),IF(J_V="SI",(Datos!J12-Datos!T12)/Datos!T12,(Datos!J12+Datos!Z12-(Datos!T12+Datos!AH12))/(Datos!T12+Datos!AH12))," - ")</f>
        <v>0.33985330073349634</v>
      </c>
      <c r="D12" s="515">
        <f>IF(ISNUMBER(
   IF(J_V="SI",(Datos!K12-Datos!U12)/Datos!U12,(Datos!K12+Datos!AA12-(Datos!U12+Datos!AI12))/(Datos!U12+Datos!AI12))
     ),IF(J_V="SI",(Datos!K12-Datos!U12)/Datos!U12,(Datos!K12+Datos!AA12-(Datos!U12+Datos!AI12))/(Datos!U12+Datos!AI12))," - ")</f>
        <v>0.19464720194647203</v>
      </c>
      <c r="E12" s="515">
        <f>IF(ISNUMBER(
   IF(J_V="SI",(Datos!L12-Datos!V12)/Datos!V12,(Datos!L12+Datos!AB12-(Datos!V12+Datos!AJ12))/(Datos!V12+Datos!AJ12))
     ),IF(J_V="SI",(Datos!L12-Datos!V12)/Datos!V12,(Datos!L12+Datos!AB12-(Datos!V12+Datos!AJ12))/(Datos!V12+Datos!AJ12))," - ")</f>
        <v>7.3513513513513512E-2</v>
      </c>
      <c r="F12" s="515">
        <f>IF(ISNUMBER((Datos!M12-Datos!W12)/Datos!W12),(Datos!M12-Datos!W12)/Datos!W12," - ")</f>
        <v>0.17204301075268819</v>
      </c>
      <c r="G12" s="516">
        <f>IF(ISNUMBER((Datos!N12-Datos!X12)/Datos!X12),(Datos!N12-Datos!X12)/Datos!X12," - ")</f>
        <v>0.29411764705882354</v>
      </c>
      <c r="H12" s="514">
        <f>IF(ISNUMBER(((NºAsuntos!G12/NºAsuntos!E12)-Datos!BD12)/Datos!BD12),((NºAsuntos!G12/NºAsuntos!E12)-Datos!BD12)/Datos!BD12," - ")</f>
        <v>-0.10837462482462204</v>
      </c>
      <c r="I12" s="515">
        <f>IF(ISNUMBER(((NºAsuntos!I12/NºAsuntos!G12)-Datos!BE12)/Datos!BE12),((NºAsuntos!I12/NºAsuntos!G12)-Datos!BE12)/Datos!BE12," - ")</f>
        <v>-0.10139703858644795</v>
      </c>
      <c r="J12" s="521">
        <f>IF(ISNUMBER((('Resol  Asuntos'!D12/NºAsuntos!G12)-Datos!BF12)/Datos!BF12),(('Resol  Asuntos'!D12/NºAsuntos!G12)-Datos!BF12)/Datos!BF12," - ")</f>
        <v>-0.10548700131783875</v>
      </c>
      <c r="K12" s="522">
        <f>IF(ISNUMBER((((NºAsuntos!C12+NºAsuntos!E12)/NºAsuntos!G12)-Datos!BG12)/Datos!BG12),(((NºAsuntos!C12+NºAsuntos!E12)/NºAsuntos!G12)-Datos!BG12)/Datos!BG12," - ")</f>
        <v>-7.020378794346134E-2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1.0741138560687433E-2</v>
      </c>
      <c r="C14" s="1152">
        <f>IF(ISNUMBER(
   IF(J_V="SI",(Datos!J14-Datos!T14)/Datos!T14,(Datos!J14+Datos!Z14-(Datos!T14+Datos!AH14))/(Datos!T14+Datos!AH14))
     ),IF(J_V="SI",(Datos!J14-Datos!T14)/Datos!T14,(Datos!J14+Datos!Z14-(Datos!T14+Datos!AH14))/(Datos!T14+Datos!AH14))," - ")</f>
        <v>0.34306569343065696</v>
      </c>
      <c r="D14" s="1152">
        <f>IF(ISNUMBER(
   IF(J_V="SI",(Datos!K14-Datos!U14)/Datos!U14,(Datos!K14+Datos!AA14-(Datos!U14+Datos!AI14))/(Datos!U14+Datos!AI14))
     ),IF(J_V="SI",(Datos!K14-Datos!U14)/Datos!U14,(Datos!K14+Datos!AA14-(Datos!U14+Datos!AI14))/(Datos!U14+Datos!AI14))," - ")</f>
        <v>0.1937046004842615</v>
      </c>
      <c r="E14" s="1152">
        <f>IF(ISNUMBER(
   IF(J_V="SI",(Datos!L14-Datos!V14)/Datos!V14,(Datos!L14+Datos!AB14-(Datos!V14+Datos!AJ14))/(Datos!V14+Datos!AJ14))
     ),IF(J_V="SI",(Datos!L14-Datos!V14)/Datos!V14,(Datos!L14+Datos!AB14-(Datos!V14+Datos!AJ14))/(Datos!V14+Datos!AJ14))," - ")</f>
        <v>7.6426264800861135E-2</v>
      </c>
      <c r="F14" s="1153">
        <f>IF(ISNUMBER((Datos!M14-Datos!W14)/Datos!W14),(Datos!M14-Datos!W14)/Datos!W14," - ")</f>
        <v>0.19354838709677419</v>
      </c>
      <c r="G14" s="1154">
        <f>IF(ISNUMBER((Datos!N14-Datos!X14)/Datos!X14),(Datos!N14-Datos!X14)/Datos!X14," - ")</f>
        <v>0.29411764705882354</v>
      </c>
      <c r="H14" s="1154">
        <f>IF(ISNUMBER(((NºAsuntos!G14/NºAsuntos!E14)-Datos!BD14)/Datos!BD14),((NºAsuntos!G14/NºAsuntos!E14)-Datos!BD14)/Datos!BD14," - ")</f>
        <v>-0.11120907463943576</v>
      </c>
      <c r="I14" s="1154">
        <f>IF(ISNUMBER(((NºAsuntos!I14/NºAsuntos!G14)-Datos!BE14)/Datos!BE14),((NºAsuntos!I14/NºAsuntos!G14)-Datos!BE14)/Datos!BE14," - ")</f>
        <v>-9.8247368432544349E-2</v>
      </c>
      <c r="J14" s="1154">
        <f>IF(ISNUMBER((('Resol  Asuntos'!D14/NºAsuntos!G14)-Datos!BF14)/Datos!BF14),(('Resol  Asuntos'!D14/NºAsuntos!G14)-Datos!BF14)/Datos!BF14," - ")</f>
        <v>-8.8354611621524817E-2</v>
      </c>
      <c r="K14" s="1154">
        <f>IF(ISNUMBER((((NºAsuntos!C14+NºAsuntos!E14)/NºAsuntos!G14)-Datos!BG14)/Datos!BG14),(((NºAsuntos!C14+NºAsuntos!E14)/NºAsuntos!G14)-Datos!BG14)/Datos!BG14," - ")</f>
        <v>-6.8011777402260581E-2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0.69170984455958551</v>
      </c>
      <c r="C17" s="515">
        <f>IF(ISNUMBER(
   IF(D_I="SI",(Datos!J17-Datos!T17)/Datos!T17,(Datos!J17+Datos!AD17-(Datos!T17+Datos!AL17))/(Datos!T17+Datos!AL17))
     ),IF(D_I="SI",(Datos!J17-Datos!T17)/Datos!T17,(Datos!J17+Datos!AD17-(Datos!T17+Datos!AL17))/(Datos!T17+Datos!AL17))," - ")</f>
        <v>-3.7366548042704624E-2</v>
      </c>
      <c r="D17" s="515">
        <f>IF(ISNUMBER(
   IF(D_I="SI",(Datos!K17-Datos!U17)/Datos!U17,(Datos!K17+Datos!AE17-(Datos!U17+Datos!AM17))/(Datos!U17+Datos!AM17))
     ),IF(D_I="SI",(Datos!K17-Datos!U17)/Datos!U17,(Datos!K17+Datos!AE17-(Datos!U17+Datos!AM17))/(Datos!U17+Datos!AM17))," - ")</f>
        <v>0.17540322580645162</v>
      </c>
      <c r="E17" s="515">
        <f>IF(ISNUMBER(
   IF(D_I="SI",(Datos!L17-Datos!V17)/Datos!V17,(Datos!L17+Datos!AF17-(Datos!V17+Datos!AN17))/(Datos!V17+Datos!AN17))
     ),IF(D_I="SI",(Datos!L17-Datos!V17)/Datos!V17,(Datos!L17+Datos!AF17-(Datos!V17+Datos!AN17))/(Datos!V17+Datos!AN17))," - ")</f>
        <v>0.33478260869565218</v>
      </c>
      <c r="F17" s="515">
        <f>IF(ISNUMBER((Datos!M17-Datos!W17)/Datos!W17),(Datos!M17-Datos!W17)/Datos!W17," - ")</f>
        <v>0.2857142857142857</v>
      </c>
      <c r="G17" s="516">
        <f>IF(ISNUMBER((Datos!N17-Datos!X17)/Datos!X17),(Datos!N17-Datos!X17)/Datos!X17," - ")</f>
        <v>0.17757009345794392</v>
      </c>
      <c r="H17" s="514">
        <f>IF(ISNUMBER(((NºAsuntos!G17/NºAsuntos!E17)-Datos!BD17)/Datos!BD17),((NºAsuntos!G17/NºAsuntos!E17)-Datos!BD17)/Datos!BD17," - ")</f>
        <v>0.22102885934052835</v>
      </c>
      <c r="I17" s="515">
        <f>IF(ISNUMBER(((NºAsuntos!I17/NºAsuntos!G17)-Datos!BE17)/Datos!BE17),((NºAsuntos!I17/NºAsuntos!G17)-Datos!BE17)/Datos!BE17," - ")</f>
        <v>0.13559549556268177</v>
      </c>
      <c r="J17" s="521">
        <f>IF(ISNUMBER((('Resol  Asuntos'!D17/NºAsuntos!G17)-Datos!BF17)/Datos!BF17),(('Resol  Asuntos'!D17/NºAsuntos!G17)-Datos!BF17)/Datos!BF17," - ")</f>
        <v>9.3849546679735371E-2</v>
      </c>
      <c r="K17" s="522">
        <f>IF(ISNUMBER((((NºAsuntos!C17+NºAsuntos!E17)/NºAsuntos!G17)-Datos!BG17)/Datos!BG17),(((NºAsuntos!C17+NºAsuntos!E17)/NºAsuntos!G17)-Datos!BG17)/Datos!BG17," - ")</f>
        <v>7.154178517923436E-2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1.3636363636363635</v>
      </c>
      <c r="D18" s="515">
        <f>IF(ISNUMBER(
   IF(D_I="SI",(Datos!K18-Datos!U18)/Datos!U18,(Datos!K18+Datos!AE18-(Datos!U18+Datos!AM18))/(Datos!U18+Datos!AM18))
     ),IF(D_I="SI",(Datos!K18-Datos!U18)/Datos!U18,(Datos!K18+Datos!AE18-(Datos!U18+Datos!AM18))/(Datos!U18+Datos!AM18))," - ")</f>
        <v>1.6842105263157894</v>
      </c>
      <c r="E18" s="515">
        <f>IF(ISNUMBER(
   IF(D_I="SI",(Datos!L18-Datos!V18)/Datos!V18,(Datos!L18+Datos!AF18-(Datos!V18+Datos!AN18))/(Datos!V18+Datos!AN18))
     ),IF(D_I="SI",(Datos!L18-Datos!V18)/Datos!V18,(Datos!L18+Datos!AF18-(Datos!V18+Datos!AN18))/(Datos!V18+Datos!AN18))," - ")</f>
        <v>0.5</v>
      </c>
      <c r="F18" s="515">
        <f>IF(ISNUMBER((Datos!M18-Datos!W18)/Datos!W18),(Datos!M18-Datos!W18)/Datos!W18," - ")</f>
        <v>-0.23076923076923078</v>
      </c>
      <c r="G18" s="516">
        <f>IF(ISNUMBER((Datos!N18-Datos!X18)/Datos!X18),(Datos!N18-Datos!X18)/Datos!X18," - ")</f>
        <v>2.6923076923076925</v>
      </c>
      <c r="H18" s="514">
        <f>IF(ISNUMBER(((NºAsuntos!G18/NºAsuntos!E18)-Datos!BD18)/Datos!BD18),((NºAsuntos!G18/NºAsuntos!E18)-Datos!BD18)/Datos!BD18," - ")</f>
        <v>0.13562753036437242</v>
      </c>
      <c r="I18" s="515">
        <f>IF(ISNUMBER(((NºAsuntos!I18/NºAsuntos!G18)-Datos!BE18)/Datos!BE18),((NºAsuntos!I18/NºAsuntos!G18)-Datos!BE18)/Datos!BE18," - ")</f>
        <v>-0.44117647058823523</v>
      </c>
      <c r="J18" s="521">
        <f>IF(ISNUMBER((('Resol  Asuntos'!D18/NºAsuntos!G18)-Datos!BF18)/Datos!BF18),(('Resol  Asuntos'!D18/NºAsuntos!G18)-Datos!BF18)/Datos!BF18," - ")</f>
        <v>-0.71342383107088991</v>
      </c>
      <c r="K18" s="522">
        <f>IF(ISNUMBER((((NºAsuntos!C18+NºAsuntos!E18)/NºAsuntos!G18)-Datos!BG18)/Datos!BG18),(((NºAsuntos!C18+NºAsuntos!E18)/NºAsuntos!G18)-Datos!BG18)/Datos!BG18," - ")</f>
        <v>-0.15212981744421908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0.69720101781170485</v>
      </c>
      <c r="C23" s="1152">
        <f>IF(ISNUMBER(
   IF(Criterios!B14="SI",(Datos!J23-Datos!T23)/Datos!T23,(Datos!J23+Datos!AD23-(Datos!T23+Datos!AL23))/(Datos!T23+Datos!AL23))
     ),IF(Criterios!B14="SI",(Datos!J23-Datos!T23)/Datos!T23,(Datos!J23+Datos!AD23-(Datos!T23+Datos!AL23))/(Datos!T23+Datos!AL23))," - ")</f>
        <v>1.5410958904109588E-2</v>
      </c>
      <c r="D23" s="1152">
        <f>IF(ISNUMBER(
   IF(Criterios!B14="SI",(Datos!K23-Datos!U23)/Datos!U23,(Datos!K23+Datos!AE23-(Datos!U23+Datos!AM23))/(Datos!U23+Datos!AM23))
     ),IF(Criterios!B14="SI",(Datos!K23-Datos!U23)/Datos!U23,(Datos!K23+Datos!AE23-(Datos!U23+Datos!AM23))/(Datos!U23+Datos!AM23))," - ")</f>
        <v>0.23106796116504855</v>
      </c>
      <c r="E23" s="1152">
        <f>IF(ISNUMBER(
   IF(Criterios!B14="SI",(Datos!L23-Datos!V23)/Datos!V23,(Datos!L23+Datos!AF23-(Datos!V23+Datos!AN23))/(Datos!V23+Datos!AN23))
     ),IF(Criterios!B14="SI",(Datos!L23-Datos!V23)/Datos!V23,(Datos!L23+Datos!AF23-(Datos!V23+Datos!AN23))/(Datos!V23+Datos!AN23))," - ")</f>
        <v>0.33829787234042552</v>
      </c>
      <c r="F23" s="1153">
        <f>IF(ISNUMBER((Datos!M23-Datos!W23)/Datos!W23),(Datos!M23-Datos!W23)/Datos!W23," - ")</f>
        <v>0.17741935483870969</v>
      </c>
      <c r="G23" s="1154">
        <f>IF(ISNUMBER((Datos!N23-Datos!X23)/Datos!X23),(Datos!N23-Datos!X23)/Datos!X23," - ")</f>
        <v>0.27544910179640719</v>
      </c>
      <c r="H23" s="1154">
        <f>IF(ISNUMBER(((NºAsuntos!G23/NºAsuntos!E23)-Datos!BD23)/Datos!BD23),((NºAsuntos!G23/NºAsuntos!E23)-Datos!BD23)/Datos!BD23," - ")</f>
        <v>0.21238396175444901</v>
      </c>
      <c r="I23" s="1154">
        <f>IF(ISNUMBER(((NºAsuntos!I23/NºAsuntos!G23)-Datos!BE23)/Datos!BE23),((NºAsuntos!I23/NºAsuntos!G23)-Datos!BE23)/Datos!BE23," - ")</f>
        <v>8.7103161285992353E-2</v>
      </c>
      <c r="J23" s="1154">
        <f>IF(ISNUMBER((('Resol  Asuntos'!D23/NºAsuntos!G23)-Datos!BF23)/Datos!BF23),(('Resol  Asuntos'!D23/NºAsuntos!G23)-Datos!BF23)/Datos!BF23," - ")</f>
        <v>-4.357891523354019E-2</v>
      </c>
      <c r="K23" s="1154">
        <f>IF(ISNUMBER((((NºAsuntos!C23+NºAsuntos!E23)/NºAsuntos!G23)-Datos!BG23)/Datos!BG23),(((NºAsuntos!C23+NºAsuntos!E23)/NºAsuntos!G23)-Datos!BG23)/Datos!BG23," - ")</f>
        <v>4.7596292003138474E-2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0.21450151057401812</v>
      </c>
      <c r="C31" s="1092">
        <f>IF(ISNUMBER(
   IF(J_V="SI",(Datos!J31-Datos!T31)/Datos!T31,(Datos!J31+Datos!Z31-(Datos!T31+Datos!AH31))/(Datos!T31+Datos!AH31))
     ),IF(J_V="SI",(Datos!J31-Datos!T31)/Datos!T31,(Datos!J31+Datos!Z31-(Datos!T31+Datos!AH31))/(Datos!T31+Datos!AH31))," - ")</f>
        <v>0.15075376884422109</v>
      </c>
      <c r="D31" s="1092">
        <f>IF(ISNUMBER(
   IF(J_V="SI",(Datos!K31-Datos!U31)/Datos!U31,(Datos!K31+Datos!AA31-(Datos!U31+Datos!AI31))/(Datos!U31+Datos!AI31))
     ),IF(J_V="SI",(Datos!K31-Datos!U31)/Datos!U31,(Datos!K31+Datos!AA31-(Datos!U31+Datos!AI31))/(Datos!U31+Datos!AI31))," - ")</f>
        <v>0.21443965517241378</v>
      </c>
      <c r="E31" s="1092">
        <f>IF(ISNUMBER(
   IF(J_V="SI",(Datos!L31-Datos!V31)/Datos!V31,(Datos!L31+Datos!AB31-(Datos!V31+Datos!AJ31))/(Datos!V31+Datos!AJ31))
     ),IF(J_V="SI",(Datos!L31-Datos!V31)/Datos!V31,(Datos!L31+Datos!AB31-(Datos!V31+Datos!AJ31))/(Datos!V31+Datos!AJ31))," - ")</f>
        <v>0.16440314510364545</v>
      </c>
      <c r="F31" s="1093">
        <f>IF(ISNUMBER((Datos!M31-Datos!W31)/Datos!W31),(Datos!M31-Datos!W31)/Datos!W31," - ")</f>
        <v>0.18709677419354839</v>
      </c>
      <c r="G31" s="1094">
        <f>IF(ISNUMBER((Datos!N31-Datos!X31)/Datos!X31),(Datos!N31-Datos!X31)/Datos!X31," - ")</f>
        <v>0.27981651376146788</v>
      </c>
      <c r="H31" s="1095">
        <f>IF(ISNUMBER((Tasas!B31-Datos!BD31)/Datos!BD31),(Tasas!B31-Datos!BD31)/Datos!BD31," - ")</f>
        <v>5.5342757114892324E-2</v>
      </c>
      <c r="I31" s="1096">
        <f>IF(ISNUMBER((Tasas!C31-Datos!BE31)/Datos!BE31),(Tasas!C31-Datos!BE31)/Datos!BE31," - ")</f>
        <v>-4.1201314413324676E-2</v>
      </c>
      <c r="J31" s="1097">
        <f>IF(ISNUMBER((Tasas!D31-Datos!BF31)/Datos!BF31),(Tasas!D31-Datos!BF31)/Datos!BF31," - ")</f>
        <v>-7.6157292185166786E-2</v>
      </c>
      <c r="K31" s="1097">
        <f>IF(ISNUMBER((Tasas!E31-Datos!BG31)/Datos!BG31),(Tasas!E31-Datos!BG31)/Datos!BG31," - ")</f>
        <v>-2.2471286731690274E-2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0DslggkM3zDLNq2nLHswbLLYZYuG5i9jIztPogyqmIJnNsmxUOZdO1jGvKgKvaKcU0Ia1XuXxj3HrY7yg8bBA==" saltValue="NQz6gAmK0PFIrKDiQ5I9J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PUERTO DE LA CRUZ</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3.5</v>
      </c>
      <c r="D10" s="499">
        <f>IF(ISNUMBER('Resol  Asuntos'!D10/NºAsuntos!G10),'Resol  Asuntos'!D10/NºAsuntos!G10," - ")</f>
        <v>1</v>
      </c>
      <c r="E10" s="500">
        <f>IF(ISNUMBER((NºAsuntos!C10+NºAsuntos!E10)/NºAsuntos!G10),(NºAsuntos!C10+NºAsuntos!E10)/NºAsuntos!G10," - ")</f>
        <v>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0.89598540145985406</v>
      </c>
      <c r="C12" s="498">
        <f>IF(ISNUMBER(NºAsuntos!I12/NºAsuntos!G12),NºAsuntos!I12/NºAsuntos!G12," - ")</f>
        <v>2.0224032586558045</v>
      </c>
      <c r="D12" s="499">
        <f>IF(ISNUMBER('Resol  Asuntos'!D12/NºAsuntos!G12),'Resol  Asuntos'!D12/NºAsuntos!G12," - ")</f>
        <v>0.2219959266802444</v>
      </c>
      <c r="E12" s="500">
        <f>IF(ISNUMBER((NºAsuntos!C12+NºAsuntos!E12)/NºAsuntos!G12),(NºAsuntos!C12+NºAsuntos!E12)/NºAsuntos!G12," - ")</f>
        <v>3.0224032586558045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0.89311594202898548</v>
      </c>
      <c r="C14" s="1156">
        <f>IF(ISNUMBER(NºAsuntos!I14/NºAsuntos!G14),NºAsuntos!I14/NºAsuntos!G14," - ")</f>
        <v>2.028397565922921</v>
      </c>
      <c r="D14" s="1157">
        <f>IF(ISNUMBER('Resol  Asuntos'!D14/NºAsuntos!G14),'Resol  Asuntos'!D14/NºAsuntos!G14," - ")</f>
        <v>0.22515212981744423</v>
      </c>
      <c r="E14" s="1158">
        <f>IF(ISNUMBER((NºAsuntos!C14+NºAsuntos!E14)/NºAsuntos!G14),(NºAsuntos!C14+NºAsuntos!E14)/NºAsuntos!G14," - ")</f>
        <v>3.028397565922921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1.0776340110905731</v>
      </c>
      <c r="C17" s="498">
        <f>IF(ISNUMBER(NºAsuntos!I17/NºAsuntos!G17),NºAsuntos!I17/NºAsuntos!G17," - ")</f>
        <v>1.0531732418524871</v>
      </c>
      <c r="D17" s="499">
        <f>IF(ISNUMBER('Resol  Asuntos'!D17/NºAsuntos!G17),'Resol  Asuntos'!D17/NºAsuntos!G17," - ")</f>
        <v>0.10806174957118353</v>
      </c>
      <c r="E17" s="500">
        <f>IF(ISNUMBER((NºAsuntos!C17+NºAsuntos!E17)/NºAsuntos!G17),(NºAsuntos!C17+NºAsuntos!E17)/NºAsuntos!G17," - ")</f>
        <v>2.0480274442538593</v>
      </c>
      <c r="G17" s="523"/>
    </row>
    <row r="18" spans="1:7">
      <c r="A18" s="450" t="str">
        <f>Datos!A18</f>
        <v>Jdos. Violencia contra la mujer</v>
      </c>
      <c r="B18" s="497">
        <f>IF(ISNUMBER(NºAsuntos!G18/NºAsuntos!E18),NºAsuntos!G18/NºAsuntos!E18," - ")</f>
        <v>0.98076923076923073</v>
      </c>
      <c r="C18" s="498">
        <f>IF(ISNUMBER(NºAsuntos!I18/NºAsuntos!G18),NºAsuntos!I18/NºAsuntos!G18," - ")</f>
        <v>0.29411764705882354</v>
      </c>
      <c r="D18" s="499">
        <f>IF(ISNUMBER('Resol  Asuntos'!D18/NºAsuntos!G18),'Resol  Asuntos'!D18/NºAsuntos!G18," - ")</f>
        <v>0.19607843137254902</v>
      </c>
      <c r="E18" s="500">
        <f>IF(ISNUMBER((NºAsuntos!C18+NºAsuntos!E18)/NºAsuntos!G18),(NºAsuntos!C18+NºAsuntos!E18)/NºAsuntos!G18," - ")</f>
        <v>1.2941176470588236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1.0691399662731871</v>
      </c>
      <c r="C23" s="1156">
        <f>IF(ISNUMBER(NºAsuntos!I23/NºAsuntos!G23),NºAsuntos!I23/NºAsuntos!G23," - ")</f>
        <v>0.99211356466876977</v>
      </c>
      <c r="D23" s="1159">
        <f>IF(ISNUMBER('Resol  Asuntos'!D23/NºAsuntos!G23),'Resol  Asuntos'!D23/NºAsuntos!G23," - ")</f>
        <v>0.11514195583596215</v>
      </c>
      <c r="E23" s="1158">
        <f>IF(ISNUMBER((NºAsuntos!C23+NºAsuntos!E23)/NºAsuntos!G23),(NºAsuntos!C23+NºAsuntos!E23)/NºAsuntos!G23," - ")</f>
        <v>1.9873817034700316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0.98427947598253274</v>
      </c>
      <c r="C31" s="1099">
        <f>IF(ISNUMBER(NºAsuntos!I31/NºAsuntos!G31),NºAsuntos!I31/NºAsuntos!G31," - ")</f>
        <v>1.4454303460514641</v>
      </c>
      <c r="D31" s="1100">
        <f>IF(ISNUMBER('Resol  Asuntos'!D31/NºAsuntos!G31),'Resol  Asuntos'!D31/NºAsuntos!G31," - ")</f>
        <v>0.16326530612244897</v>
      </c>
      <c r="E31" s="1101">
        <f>IF(ISNUMBER((NºAsuntos!C31+NºAsuntos!E31)/NºAsuntos!G31),(NºAsuntos!C31+NºAsuntos!E31)/NºAsuntos!G31," - ")</f>
        <v>2.4427684117125112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L1BYjX3tNfwpTZmHrmeaihQbOqFG0c/8dWhzHWwG4MHI3gOcrUH1rtf80cNZQrkPNivQYh0K8QufrewJyhoKQ==" saltValue="D5rpIqCDFwVO42p5wYnf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PUERTO DE LA CRUZ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2</v>
      </c>
      <c r="Y10" s="374">
        <f t="shared" ref="Y10:Y13" si="0">SUM(W10:X10)</f>
        <v>4</v>
      </c>
      <c r="Z10" s="375" t="str">
        <f>IF(ISNUMBER(Datos!CC10),Datos!CC10," - ")</f>
        <v xml:space="preserve"> - </v>
      </c>
      <c r="AA10" s="372">
        <f>IF(ISNUMBER(Datos!L10),Datos!L10,"-")</f>
        <v>7</v>
      </c>
      <c r="AB10" s="374">
        <f>IF(ISNUMBER(Datos!R10),Datos!R10," - ")</f>
        <v>0</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10.5</v>
      </c>
      <c r="AN10" s="267">
        <f>IF(ISNUMBER('Resol  Asuntos'!D10/NºAsuntos!G10),'Resol  Asuntos'!D10/NºAsuntos!G10," - ")</f>
        <v>1</v>
      </c>
      <c r="AO10" s="268">
        <f>IF(ISNUMBER((NºAsuntos!C10+NºAsuntos!E10)/NºAsuntos!G10),(NºAsuntos!C10+NºAsuntos!E10)/NºAsuntos!G10," - ")</f>
        <v>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v>
      </c>
      <c r="Y12" s="374">
        <f t="shared" si="0"/>
        <v>31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2279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109</v>
      </c>
      <c r="AJ12" s="243" t="str">
        <f>IF(ISNUMBER(Datos!BW12),Datos!BW12," - ")</f>
        <v xml:space="preserve"> - </v>
      </c>
      <c r="AK12" s="242" t="str">
        <f>IF(ISNUMBER(Datos!BX12),Datos!BX12," - ")</f>
        <v xml:space="preserve"> - </v>
      </c>
      <c r="AL12" s="266">
        <f>IF(ISNUMBER(NºAsuntos!G12/NºAsuntos!E12),NºAsuntos!G12/NºAsuntos!E12," - ")</f>
        <v>0.89598540145985406</v>
      </c>
      <c r="AM12" s="284">
        <f>IF(ISNUMBER(((NºAsuntos!I12/NºAsuntos!G12)*11)/factor_trimestre),((NºAsuntos!I12/NºAsuntos!G12)*11)/factor_trimestre," - ")</f>
        <v>6.067209775967414</v>
      </c>
      <c r="AN12" s="267">
        <f>IF(ISNUMBER('Resol  Asuntos'!D12/NºAsuntos!G12),'Resol  Asuntos'!D12/NºAsuntos!G12," - ")</f>
        <v>0.2219959266802444</v>
      </c>
      <c r="AO12" s="268">
        <f>IF(ISNUMBER((NºAsuntos!C12+NºAsuntos!E12)/NºAsuntos!G12),(NºAsuntos!C12+NºAsuntos!E12)/NºAsuntos!G12," - ")</f>
        <v>3.0224032586558045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5</v>
      </c>
      <c r="G14" s="1163">
        <f t="shared" si="5"/>
        <v>5</v>
      </c>
      <c r="H14" s="1162">
        <f t="shared" si="5"/>
        <v>0</v>
      </c>
      <c r="I14" s="1164">
        <f t="shared" si="5"/>
        <v>0</v>
      </c>
      <c r="J14" s="1164">
        <f t="shared" si="5"/>
        <v>0</v>
      </c>
      <c r="K14" s="1164">
        <f t="shared" si="5"/>
        <v>0</v>
      </c>
      <c r="L14" s="1164">
        <f t="shared" si="5"/>
        <v>126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33</v>
      </c>
      <c r="Y14" s="1165">
        <f t="shared" si="6"/>
        <v>35</v>
      </c>
      <c r="Z14" s="1165">
        <f t="shared" si="6"/>
        <v>0</v>
      </c>
      <c r="AA14" s="1165">
        <f t="shared" si="6"/>
        <v>7</v>
      </c>
      <c r="AB14" s="1165">
        <f t="shared" si="6"/>
        <v>2279</v>
      </c>
      <c r="AC14" s="1165">
        <f t="shared" si="6"/>
        <v>7</v>
      </c>
      <c r="AD14" s="1165">
        <f t="shared" si="6"/>
        <v>0</v>
      </c>
      <c r="AE14" s="1169">
        <f t="shared" si="6"/>
        <v>0</v>
      </c>
      <c r="AF14" s="1162">
        <f t="shared" si="6"/>
        <v>0</v>
      </c>
      <c r="AG14" s="1170">
        <f t="shared" si="6"/>
        <v>0</v>
      </c>
      <c r="AH14" s="1167">
        <f t="shared" si="6"/>
        <v>0</v>
      </c>
      <c r="AI14" s="1162">
        <f t="shared" si="6"/>
        <v>111</v>
      </c>
      <c r="AJ14" s="1164">
        <f t="shared" si="6"/>
        <v>0</v>
      </c>
      <c r="AK14" s="1167">
        <f>SUBTOTAL(9,AK9:AK13)</f>
        <v>0</v>
      </c>
      <c r="AL14" s="1171">
        <f>IF(ISNUMBER(NºAsuntos!G14/NºAsuntos!E14),NºAsuntos!G14/NºAsuntos!E14," - ")</f>
        <v>0.89311594202898548</v>
      </c>
      <c r="AM14" s="1171">
        <f>IF(ISNUMBER(((NºAsuntos!I14/NºAsuntos!G14)*11)/factor_trimestre),((NºAsuntos!I14/NºAsuntos!G14)*11)/factor_trimestre," - ")</f>
        <v>6.0851926977687629</v>
      </c>
      <c r="AN14" s="1172">
        <f>IF(ISNUMBER('Resol  Asuntos'!D14/NºAsuntos!G14),'Resol  Asuntos'!D14/NºAsuntos!G14," - ")</f>
        <v>0.22515212981744423</v>
      </c>
      <c r="AO14" s="1173">
        <f>IF(ISNUMBER((NºAsuntos!C14+NºAsuntos!E14)/NºAsuntos!G14),(NºAsuntos!C14+NºAsuntos!E14)/NºAsuntos!G14," - ")</f>
        <v>3.028397565922921</v>
      </c>
      <c r="AP14" s="1174" t="str">
        <f t="shared" si="2"/>
        <v xml:space="preserve"> - </v>
      </c>
      <c r="AQ14" s="1174">
        <f>IF(ISNUMBER((H14-W14+K14)/(F14)),(H14-W14+K14)/(F14)," - ")</f>
        <v>-0.4</v>
      </c>
      <c r="AR14" s="1175">
        <f>IF(ISNUMBER((Datos!P14-Datos!Q14)/(Datos!R14-Datos!P14+Datos!Q14)),(Datos!P14-Datos!Q14)/(Datos!R14-Datos!P14+Datos!Q14)," - ")</f>
        <v>4.2543458371454713E-2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656</v>
      </c>
      <c r="G17" s="373">
        <f>IF(ISNUMBER(IF(D_I="SI",Datos!I17,Datos!I17+Datos!AC17)),IF(D_I="SI",Datos!I17,Datos!I17+Datos!AC17)," - ")</f>
        <v>653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583</v>
      </c>
      <c r="X17" s="240">
        <f>IF(ISNUMBER(Datos!Q17),Datos!Q17," - ")</f>
        <v>19</v>
      </c>
      <c r="Y17" s="374">
        <f t="shared" ref="Y17:Y22" si="9">SUM(W17:X17)</f>
        <v>602</v>
      </c>
      <c r="Z17" s="375" t="str">
        <f>IF(ISNUMBER(Datos!CC17),Datos!CC17," - ")</f>
        <v xml:space="preserve"> - </v>
      </c>
      <c r="AA17" s="372">
        <f>IF(ISNUMBER(IF(D_I="SI",Datos!L17,Datos!L17+Datos!AF17)),IF(D_I="SI",Datos!L17,Datos!L17+Datos!AF17)," - ")</f>
        <v>614</v>
      </c>
      <c r="AB17" s="374">
        <f>IF(ISNUMBER(Datos!R17),Datos!R17," - ")</f>
        <v>73</v>
      </c>
      <c r="AC17" s="374">
        <f t="shared" si="8"/>
        <v>687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63</v>
      </c>
      <c r="AJ17" s="245" t="str">
        <f>IF(ISNUMBER(Datos!BW17),Datos!BW17," - ")</f>
        <v xml:space="preserve"> - </v>
      </c>
      <c r="AK17" s="246" t="str">
        <f>IF(ISNUMBER(Datos!BX17),Datos!BX17," - ")</f>
        <v xml:space="preserve"> - </v>
      </c>
      <c r="AL17" s="266">
        <f>IF(ISNUMBER(NºAsuntos!G17/NºAsuntos!E17),NºAsuntos!G17/NºAsuntos!E17," - ")</f>
        <v>1.0776340110905731</v>
      </c>
      <c r="AM17" s="284">
        <f>IF(ISNUMBER(((NºAsuntos!I17/NºAsuntos!G17)*11)/factor_trimestre),((NºAsuntos!I17/NºAsuntos!G17)*11)/factor_trimestre," - ")</f>
        <v>3.1595197255574612</v>
      </c>
      <c r="AN17" s="267">
        <f>IF(ISNUMBER('Resol  Asuntos'!D17/NºAsuntos!G17),'Resol  Asuntos'!D17/NºAsuntos!G17," - ")</f>
        <v>0.10806174957118353</v>
      </c>
      <c r="AO17" s="268">
        <f>IF(ISNUMBER((NºAsuntos!C17+NºAsuntos!E17)/NºAsuntos!G17),(NºAsuntos!C17+NºAsuntos!E17)/NºAsuntos!G17," - ")</f>
        <v>2.0480274442538593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51</v>
      </c>
      <c r="X18" s="240">
        <f>IF(ISNUMBER(Datos!Q18),Datos!Q18," - ")</f>
        <v>0</v>
      </c>
      <c r="Y18" s="374">
        <f t="shared" si="9"/>
        <v>51</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0.98076923076923073</v>
      </c>
      <c r="AM18" s="284">
        <f>IF(ISNUMBER(((NºAsuntos!I18/NºAsuntos!G18)*11)/factor_trimestre),((NºAsuntos!I18/NºAsuntos!G18)*11)/factor_trimestre," - ")</f>
        <v>0.88235294117647067</v>
      </c>
      <c r="AN18" s="267">
        <f>IF(ISNUMBER('Resol  Asuntos'!D18/NºAsuntos!G18),'Resol  Asuntos'!D18/NºAsuntos!G18," - ")</f>
        <v>0.19607843137254902</v>
      </c>
      <c r="AO18" s="268">
        <f>IF(ISNUMBER((NºAsuntos!C18+NºAsuntos!E18)/NºAsuntos!G18),(NºAsuntos!C18+NºAsuntos!E18)/NºAsuntos!G18," - ")</f>
        <v>1.2941176470588236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656</v>
      </c>
      <c r="G23" s="1163">
        <f>SUBTOTAL(9,G16:G22)</f>
        <v>667</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634</v>
      </c>
      <c r="X23" s="1164">
        <f t="shared" si="14"/>
        <v>19</v>
      </c>
      <c r="Y23" s="1165">
        <f t="shared" si="14"/>
        <v>653</v>
      </c>
      <c r="Z23" s="1165">
        <f t="shared" si="14"/>
        <v>0</v>
      </c>
      <c r="AA23" s="1165">
        <f t="shared" si="14"/>
        <v>629</v>
      </c>
      <c r="AB23" s="1165">
        <f t="shared" si="14"/>
        <v>73</v>
      </c>
      <c r="AC23" s="1165">
        <f t="shared" si="14"/>
        <v>702</v>
      </c>
      <c r="AD23" s="1165">
        <f t="shared" si="14"/>
        <v>0</v>
      </c>
      <c r="AE23" s="1169">
        <f t="shared" si="14"/>
        <v>0</v>
      </c>
      <c r="AF23" s="1162">
        <f t="shared" si="14"/>
        <v>0</v>
      </c>
      <c r="AG23" s="1170">
        <f t="shared" si="14"/>
        <v>0</v>
      </c>
      <c r="AH23" s="1167">
        <f t="shared" si="14"/>
        <v>0</v>
      </c>
      <c r="AI23" s="1162">
        <f t="shared" si="14"/>
        <v>73</v>
      </c>
      <c r="AJ23" s="1164">
        <f t="shared" si="14"/>
        <v>0</v>
      </c>
      <c r="AK23" s="1167">
        <f t="shared" si="14"/>
        <v>0</v>
      </c>
      <c r="AL23" s="1171">
        <f>IF(ISNUMBER(NºAsuntos!G23/NºAsuntos!E23),NºAsuntos!G23/NºAsuntos!E23," - ")</f>
        <v>1.0691399662731871</v>
      </c>
      <c r="AM23" s="1171">
        <f>IF(ISNUMBER(((NºAsuntos!I23/NºAsuntos!G23)*11)/factor_trimestre),((NºAsuntos!I23/NºAsuntos!G23)*11)/factor_trimestre," - ")</f>
        <v>2.9763406940063093</v>
      </c>
      <c r="AN23" s="1172">
        <f>IF(ISNUMBER('Resol  Asuntos'!D23/NºAsuntos!G23),'Resol  Asuntos'!D23/NºAsuntos!G23," - ")</f>
        <v>0.11514195583596215</v>
      </c>
      <c r="AO23" s="1173">
        <f>IF(ISNUMBER((NºAsuntos!C23+NºAsuntos!E23)/NºAsuntos!G23),(NºAsuntos!C23+NºAsuntos!E23)/NºAsuntos!G23," - ")</f>
        <v>1.9873817034700316</v>
      </c>
      <c r="AP23" s="1174" t="str">
        <f t="shared" si="2"/>
        <v xml:space="preserve"> - </v>
      </c>
      <c r="AQ23" s="1174">
        <f>IF(ISNUMBER((H23-W23+K23)/(F23)),(H23-W23+K23)/(F23)," - ")</f>
        <v>-0.96646341463414631</v>
      </c>
      <c r="AR23" s="1175">
        <f>IF(ISNUMBER((Datos!P23-Datos!Q23)/(Datos!R23-Datos!P23+Datos!Q23)),(Datos!P23-Datos!Q23)/(Datos!R23-Datos!P23+Datos!Q23)," - ")</f>
        <v>-7.5949367088607597E-2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661</v>
      </c>
      <c r="G31" s="1118">
        <f t="shared" si="20"/>
        <v>672</v>
      </c>
      <c r="H31" s="1117">
        <f t="shared" si="20"/>
        <v>0</v>
      </c>
      <c r="I31" s="1119">
        <f t="shared" si="20"/>
        <v>0</v>
      </c>
      <c r="J31" s="1119">
        <f t="shared" si="20"/>
        <v>0</v>
      </c>
      <c r="K31" s="1180">
        <f t="shared" si="20"/>
        <v>0</v>
      </c>
      <c r="L31" s="1119">
        <f t="shared" si="20"/>
        <v>139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636</v>
      </c>
      <c r="X31" s="1118">
        <f t="shared" si="21"/>
        <v>52</v>
      </c>
      <c r="Y31" s="1125">
        <f t="shared" si="21"/>
        <v>688</v>
      </c>
      <c r="Z31" s="1125">
        <f t="shared" si="21"/>
        <v>0</v>
      </c>
      <c r="AA31" s="1125">
        <f t="shared" si="21"/>
        <v>636</v>
      </c>
      <c r="AB31" s="1125">
        <f t="shared" si="21"/>
        <v>2352</v>
      </c>
      <c r="AC31" s="1125">
        <f t="shared" si="21"/>
        <v>709</v>
      </c>
      <c r="AD31" s="1125">
        <f t="shared" si="21"/>
        <v>0</v>
      </c>
      <c r="AE31" s="1127">
        <f t="shared" si="21"/>
        <v>0</v>
      </c>
      <c r="AF31" s="1128">
        <f t="shared" si="21"/>
        <v>0</v>
      </c>
      <c r="AG31" s="1129">
        <f t="shared" si="21"/>
        <v>0</v>
      </c>
      <c r="AH31" s="1127">
        <f t="shared" si="21"/>
        <v>0</v>
      </c>
      <c r="AI31" s="1117">
        <f t="shared" si="21"/>
        <v>184</v>
      </c>
      <c r="AJ31" s="1117">
        <f t="shared" si="21"/>
        <v>0</v>
      </c>
      <c r="AK31" s="1127">
        <f t="shared" si="21"/>
        <v>0</v>
      </c>
      <c r="AL31" s="1183">
        <f>IF(ISNUMBER(NºAsuntos!G31/NºAsuntos!E31),NºAsuntos!G31/NºAsuntos!E31," - ")</f>
        <v>0.98427947598253274</v>
      </c>
      <c r="AM31" s="1184">
        <f>IF(ISNUMBER(((NºAsuntos!I31/NºAsuntos!G31)*11)/factor_trimestre),((NºAsuntos!I31/NºAsuntos!G31)*11)/factor_trimestre," - ")</f>
        <v>4.3362910381543927</v>
      </c>
      <c r="AN31" s="1184">
        <f>IF(ISNUMBER('Resol  Asuntos'!D31/NºAsuntos!G31),'Resol  Asuntos'!D31/NºAsuntos!G31," - ")</f>
        <v>0.16326530612244897</v>
      </c>
      <c r="AO31" s="1185">
        <f>IF(ISNUMBER((NºAsuntos!C31+NºAsuntos!E31)/NºAsuntos!G31),(NºAsuntos!C31+NºAsuntos!E31)/NºAsuntos!G31," - ")</f>
        <v>2.4427684117125112</v>
      </c>
      <c r="AP31" s="1186" t="str">
        <f t="shared" si="2"/>
        <v xml:space="preserve"> - </v>
      </c>
      <c r="AQ31" s="1187">
        <f>IF(OR(ISNUMBER(FIND("01",Criterios!A8,1)),ISNUMBER(FIND("02",Criterios!A8,1)),ISNUMBER(FIND("03",Criterios!A8,1)),ISNUMBER(FIND("04",Criterios!A8,1))),(I31-W31+K31)/(F31-K31),(H31-W31+K31)/(F31-K31))</f>
        <v>-0.96217851739788196</v>
      </c>
      <c r="AR31" s="1188">
        <f>IF(ISNUMBER((Datos!P31-Datos!Q31)/(Datos!R31-Datos!P31+Datos!Q31)),(Datos!P31-Datos!Q31)/(Datos!R31-Datos!P31+Datos!Q31)," - ")</f>
        <v>3.8410596026490065E-2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337.47335697306039</v>
      </c>
      <c r="G33" s="277">
        <f>IF(ISNUMBER(STDEV(G8:G30)),STDEV(G8:G30),"-")</f>
        <v>319.76449667424515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292.49314196274429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48.808664336219181</v>
      </c>
      <c r="AJ33" s="276">
        <f t="shared" si="25"/>
        <v>0</v>
      </c>
      <c r="AK33" s="278">
        <f t="shared" si="25"/>
        <v>0</v>
      </c>
      <c r="AL33" s="273">
        <f t="shared" si="25"/>
        <v>0.21293340389202087</v>
      </c>
      <c r="AM33" s="274">
        <f t="shared" si="25"/>
        <v>3.375976288547649</v>
      </c>
      <c r="AN33" s="274">
        <f t="shared" si="25"/>
        <v>0.34139824982699568</v>
      </c>
      <c r="AO33" s="275">
        <f t="shared" si="25"/>
        <v>1.1264240164620334</v>
      </c>
      <c r="AP33" s="317" t="str">
        <f t="shared" si="25"/>
        <v>-</v>
      </c>
      <c r="AQ33" s="318">
        <f t="shared" si="25"/>
        <v>0.40055012178189209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wwb1ggSu4byxOTcix/XUhLIaBEdLxYMFLUvhjDkacCH8V/MAuKKDuf6Tsbz8/xe0h6F9WyA0fEb1Z3ufLBtpQ==" saltValue="i54dD2gSDPROqMS2pT9N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PUERTO DE LA CRUZ</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1</v>
      </c>
      <c r="F10" s="393">
        <f>IF(ISNUMBER((Datos!K10-Datos!U10)/Datos!U10),(Datos!K10-Datos!U10)/Datos!U10," - ")</f>
        <v>0</v>
      </c>
      <c r="G10" s="394">
        <f>IF(ISNUMBER((Datos!L10-Datos!V10)/Datos!V10),(Datos!L10-Datos!V10)/Datos!V10," - ")</f>
        <v>0.75</v>
      </c>
      <c r="H10" s="244" t="str">
        <f>IF(ISNUMBER((Datos!M10-Datos!W10)/Datos!W10),(Datos!M10-Datos!W10)/Datos!W10," - ")</f>
        <v xml:space="preserve"> - </v>
      </c>
      <c r="I10" s="395">
        <f>IF(ISNUMBER((Tasas!C10-Datos!BE10)/Datos!BE10),(Tasas!C10-Datos!BE10)/Datos!BE10," - ")</f>
        <v>0.75</v>
      </c>
      <c r="J10" s="394" t="str">
        <f>IF(ISNUMBER((Tasas!D10-Datos!BF10)/Datos!BF10),(Tasas!D10-Datos!BF10)/Datos!BF10," - ")</f>
        <v xml:space="preserve"> - </v>
      </c>
      <c r="K10" s="396">
        <f>IF(ISNUMBER((Tasas!E10-Datos!BG10)/Datos!BG10),(Tasas!E10-Datos!BG10)/Datos!BG10," - ")</f>
        <v>0.5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0.17204301075268819</v>
      </c>
      <c r="I12" s="395">
        <f>IF(ISNUMBER((Tasas!C12-Datos!BE12)/Datos!BE12),(Tasas!C12-Datos!BE12)/Datos!BE12," - ")</f>
        <v>-0.10139703858644795</v>
      </c>
      <c r="J12" s="394">
        <f>IF(ISNUMBER((Tasas!D12-Datos!BF12)/Datos!BF12),(Tasas!D12-Datos!BF12)/Datos!BF12," - ")</f>
        <v>-0.10548700131783875</v>
      </c>
      <c r="K12" s="396">
        <f>IF(ISNUMBER((Tasas!E12-Datos!BG12)/Datos!BG12),(Tasas!E12-Datos!BG12)/Datos!BG12," - ")</f>
        <v>-7.020378794346134E-2</v>
      </c>
      <c r="M12" t="e">
        <f>IF(Monitorios="SI",Datos!CE12,0)</f>
        <v>#REF!</v>
      </c>
      <c r="N12" t="e">
        <f>IF(Monitorios="SI",Datos!CF12,0)</f>
        <v>#REF!</v>
      </c>
      <c r="O12" t="e">
        <f>IF(Monitorios="SI",Datos!CG12,0)</f>
        <v>#REF!</v>
      </c>
      <c r="P12" t="e">
        <f>IF(Monitorios="SI",Datos!CH12,0)</f>
        <v>#REF!</v>
      </c>
      <c r="Q12">
        <f>IF(J_V="SI",0,Datos!AG12)</f>
        <v>26</v>
      </c>
      <c r="R12">
        <f>IF(J_V="SI",0,Datos!AH12)</f>
        <v>26</v>
      </c>
      <c r="S12">
        <f>IF(J_V="SI",0,Datos!AI12)</f>
        <v>27</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0.19354838709677419</v>
      </c>
      <c r="I14" s="402">
        <f>IF(ISNUMBER((Tasas!C14-Datos!BE14)/Datos!BE14),(Tasas!C14-Datos!BE14)/Datos!BE14," - ")</f>
        <v>-9.8247368432544349E-2</v>
      </c>
      <c r="J14" s="400">
        <f>IF(ISNUMBER((Tasas!D14-Datos!BF14)/Datos!BF14),(Tasas!D14-Datos!BF14)/Datos!BF14," - ")</f>
        <v>-8.8354611621524817E-2</v>
      </c>
      <c r="K14" s="403">
        <f>IF(ISNUMBER((Tasas!E14-Datos!BG14)/Datos!BG14),(Tasas!E14-Datos!BG14)/Datos!BG14," - ")</f>
        <v>-6.8011777402260581E-2</v>
      </c>
      <c r="M14" t="e">
        <f>IF(Monitorios="SI",Datos!CE14,0)</f>
        <v>#REF!</v>
      </c>
      <c r="N14" t="e">
        <f>IF(Monitorios="SI",Datos!CF14,0)</f>
        <v>#REF!</v>
      </c>
      <c r="O14" t="e">
        <f>IF(Monitorios="SI",Datos!CG14,0)</f>
        <v>#REF!</v>
      </c>
      <c r="P14" t="e">
        <f>IF(Monitorios="SI",Datos!CH14,0)</f>
        <v>#REF!</v>
      </c>
      <c r="Q14">
        <f>IF(J_V="SI",0,Datos!AG14)</f>
        <v>26</v>
      </c>
      <c r="R14">
        <f>IF(J_V="SI",0,Datos!AH14)</f>
        <v>26</v>
      </c>
      <c r="S14">
        <f>IF(J_V="SI",0,Datos!AI14)</f>
        <v>27</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0.69170984455958551</v>
      </c>
      <c r="E17" s="393">
        <f>IF(ISNUMBER(
   IF(D_I="SI",(Datos!J17-Datos!T17)/Datos!T17,(Datos!J17+Datos!AD17-(Datos!T17+Datos!AL17))/(Datos!T17+Datos!AL17))
     ),IF(D_I="SI",(Datos!J17-Datos!T17)/Datos!T17,(Datos!J17+Datos!AD17-(Datos!T17+Datos!AL17))/(Datos!T17+Datos!AL17))," - ")</f>
        <v>-3.7366548042704624E-2</v>
      </c>
      <c r="F17" s="393">
        <f>IF(ISNUMBER(
   IF(D_I="SI",(Datos!K17-Datos!U17)/Datos!U17,(Datos!K17+Datos!AE17-(Datos!U17+Datos!AM17))/(Datos!U17+Datos!AM17))
     ),IF(D_I="SI",(Datos!K17-Datos!U17)/Datos!U17,(Datos!K17+Datos!AE17-(Datos!U17+Datos!AM17))/(Datos!U17+Datos!AM17))," - ")</f>
        <v>0.17540322580645162</v>
      </c>
      <c r="G17" s="394">
        <f>IF(ISNUMBER(
   IF(D_I="SI",(Datos!L17-Datos!V17)/Datos!V17,(Datos!L17+Datos!AF17-(Datos!V17+Datos!AN17))/(Datos!V17+Datos!AN17))
     ),IF(D_I="SI",(Datos!L17-Datos!V17)/Datos!V17,(Datos!L17+Datos!AF17-(Datos!V17+Datos!AN17))/(Datos!V17+Datos!AN17))," - ")</f>
        <v>0.33478260869565218</v>
      </c>
      <c r="H17" s="244">
        <f>IF(ISNUMBER((Datos!M17-Datos!W17)/Datos!W17),(Datos!M17-Datos!W17)/Datos!W17," - ")</f>
        <v>0.2857142857142857</v>
      </c>
      <c r="I17" s="395">
        <f>IF(ISNUMBER((Tasas!C17-Datos!BE17)/Datos!BE17),(Tasas!C17-Datos!BE17)/Datos!BE17," - ")</f>
        <v>0.13559549556268177</v>
      </c>
      <c r="J17" s="394">
        <f>IF(ISNUMBER((Tasas!D17-Datos!BF17)/Datos!BF17),(Tasas!D17-Datos!BF17)/Datos!BF17," - ")</f>
        <v>9.3849546679735371E-2</v>
      </c>
      <c r="K17" s="396">
        <f>IF(ISNUMBER((Tasas!E17-Datos!BG17)/Datos!BG17),(Tasas!E17-Datos!BG17)/Datos!BG17," - ")</f>
        <v>7.154178517923436E-2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1.3636363636363635</v>
      </c>
      <c r="F18" s="393">
        <f>IF(ISNUMBER(
   IF(D_I="SI",(Datos!K18-Datos!U18)/Datos!U18,(Datos!K18+Datos!AE18-(Datos!U18+Datos!AM18))/(Datos!U18+Datos!AM18))
     ),IF(D_I="SI",(Datos!K18-Datos!U18)/Datos!U18,(Datos!K18+Datos!AE18-(Datos!U18+Datos!AM18))/(Datos!U18+Datos!AM18))," - ")</f>
        <v>1.6842105263157894</v>
      </c>
      <c r="G18" s="394">
        <f>IF(ISNUMBER(
   IF(D_I="SI",(Datos!L18-Datos!V18)/Datos!V18,(Datos!L18+Datos!AF18-(Datos!V18+Datos!AN18))/(Datos!V18+Datos!AN18))
     ),IF(D_I="SI",(Datos!L18-Datos!V18)/Datos!V18,(Datos!L18+Datos!AF18-(Datos!V18+Datos!AN18))/(Datos!V18+Datos!AN18))," - ")</f>
        <v>0.5</v>
      </c>
      <c r="H18" s="244">
        <f>IF(ISNUMBER((Datos!M18-Datos!W18)/Datos!W18),(Datos!M18-Datos!W18)/Datos!W18," - ")</f>
        <v>-0.23076923076923078</v>
      </c>
      <c r="I18" s="395">
        <f>IF(ISNUMBER((Tasas!C18-Datos!BE18)/Datos!BE18),(Tasas!C18-Datos!BE18)/Datos!BE18," - ")</f>
        <v>-0.44117647058823523</v>
      </c>
      <c r="J18" s="394">
        <f>IF(ISNUMBER((Tasas!D18-Datos!BF18)/Datos!BF18),(Tasas!D18-Datos!BF18)/Datos!BF18," - ")</f>
        <v>-0.71342383107088991</v>
      </c>
      <c r="K18" s="396">
        <f>IF(ISNUMBER((Tasas!E18-Datos!BG18)/Datos!BG18),(Tasas!E18-Datos!BG18)/Datos!BG18," - ")</f>
        <v>-0.15212981744421908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0.69720101781170485</v>
      </c>
      <c r="E23" s="399">
        <f>IF(ISNUMBER(
   IF(D_I="SI",(Datos!J23-Datos!T23)/Datos!T23,(Datos!J23+Datos!AD23-(Datos!T23+Datos!AL23))/(Datos!T23+Datos!AL23))
     ),IF(D_I="SI",(Datos!J23-Datos!T23)/Datos!T23,(Datos!J23+Datos!AD23-(Datos!T23+Datos!AL23))/(Datos!T23+Datos!AL23))," - ")</f>
        <v>1.5410958904109588E-2</v>
      </c>
      <c r="F23" s="399">
        <f>IF(ISNUMBER(
   IF(D_I="SI",(Datos!K23-Datos!U23)/Datos!U23,(Datos!K23+Datos!AE23-(Datos!U23+Datos!AM23))/(Datos!U23+Datos!AM23))
     ),IF(D_I="SI",(Datos!K23-Datos!U23)/Datos!U23,(Datos!K23+Datos!AE23-(Datos!U23+Datos!AM23))/(Datos!U23+Datos!AM23))," - ")</f>
        <v>0.23106796116504855</v>
      </c>
      <c r="G23" s="400">
        <f>IF(ISNUMBER(
   IF(D_I="SI",(Datos!L23-Datos!V23)/Datos!V23,(Datos!L23+Datos!AF23-(Datos!V23+Datos!AN23))/(Datos!V23+Datos!AN23))
     ),IF(D_I="SI",(Datos!L23-Datos!V23)/Datos!V23,(Datos!L23+Datos!AF23-(Datos!V23+Datos!AN23))/(Datos!V23+Datos!AN23))," - ")</f>
        <v>0.33829787234042552</v>
      </c>
      <c r="H23" s="401">
        <f>IF(ISNUMBER((Datos!M23-Datos!W23)/Datos!W23),(Datos!M23-Datos!W23)/Datos!W23," - ")</f>
        <v>0.17741935483870969</v>
      </c>
      <c r="I23" s="402">
        <f>IF(ISNUMBER((Tasas!C23-Datos!BE23)/Datos!BE23),(Tasas!C23-Datos!BE23)/Datos!BE23," - ")</f>
        <v>8.7103161285992353E-2</v>
      </c>
      <c r="J23" s="400">
        <f>IF(ISNUMBER((Tasas!D23-Datos!BF23)/Datos!BF23),(Tasas!D23-Datos!BF23)/Datos!BF23," - ")</f>
        <v>-4.357891523354019E-2</v>
      </c>
      <c r="K23" s="403">
        <f>IF(ISNUMBER((Tasas!E23-Datos!BG23)/Datos!BG23),(Tasas!E23-Datos!BG23)/Datos!BG23," - ")</f>
        <v>4.7596292003138474E-2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0.21450151057401812</v>
      </c>
      <c r="E31" s="409">
        <f>IF(ISNUMBER(
   IF(J_V="SI",(Datos!J31-Datos!T31)/Datos!T31,(Datos!J31+Datos!Z31-(Datos!T31+Datos!AH31))/(Datos!T31+Datos!AH31))
     ),IF(J_V="SI",(Datos!J31-Datos!T31)/Datos!T31,(Datos!J31+Datos!Z31-(Datos!T31+Datos!AH31))/(Datos!T31+Datos!AH31))," - ")</f>
        <v>0.15075376884422109</v>
      </c>
      <c r="F31" s="409">
        <f>IF(ISNUMBER(
   IF(J_V="SI",(Datos!K31-Datos!U31)/Datos!U31,(Datos!K31+Datos!AA31-(Datos!U31+Datos!AI31))/(Datos!U31+Datos!AI31))
     ),IF(J_V="SI",(Datos!K31-Datos!U31)/Datos!U31,(Datos!K31+Datos!AA31-(Datos!U31+Datos!AI31))/(Datos!U31+Datos!AI31))," - ")</f>
        <v>0.21443965517241378</v>
      </c>
      <c r="G31" s="410">
        <f>IF(ISNUMBER(
   IF(J_V="SI",(Datos!L31-Datos!V31)/Datos!V31,(Datos!L31+Datos!AB31-(Datos!V31+Datos!AJ31))/(Datos!V31+Datos!AJ31))
     ),IF(J_V="SI",(Datos!L31-Datos!V31)/Datos!V31,(Datos!L31+Datos!AB31-(Datos!V31+Datos!AJ31))/(Datos!V31+Datos!AJ31))," - ")</f>
        <v>0.16440314510364545</v>
      </c>
      <c r="H31" s="411">
        <f>IF(ISNUMBER((Datos!M31-Datos!W31)/Datos!W31),(Datos!M31-Datos!W31)/Datos!W31," - ")</f>
        <v>0.18709677419354839</v>
      </c>
      <c r="I31" s="408">
        <f>IF(ISNUMBER((Tasas!C31-Datos!BE31)/Datos!BE31),(Tasas!C31-Datos!BE31)/Datos!BE31," - ")</f>
        <v>-4.1201314413324676E-2</v>
      </c>
      <c r="J31" s="409">
        <f>IF(ISNUMBER((Tasas!D31-Datos!BF31)/Datos!BF31),(Tasas!D31-Datos!BF31)/Datos!BF31," - ")</f>
        <v>-7.6157292185166786E-2</v>
      </c>
      <c r="K31" s="410">
        <f>IF(ISNUMBER((Tasas!E31-Datos!BG31)/Datos!BG31),(Tasas!E31-Datos!BG31)/Datos!BG31," - ")</f>
        <v>-2.2471286731690274E-2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0.30880907446350864</v>
      </c>
      <c r="E33" s="303">
        <f t="shared" si="1"/>
        <v>0.70480982692384475</v>
      </c>
      <c r="F33" s="303">
        <f t="shared" si="1"/>
        <v>0.78059513293484839</v>
      </c>
      <c r="G33" s="304">
        <f t="shared" si="1"/>
        <v>0.19533322927725069</v>
      </c>
      <c r="H33" s="310">
        <f t="shared" si="1"/>
        <v>0.20119285805079065</v>
      </c>
      <c r="I33" s="302">
        <f t="shared" si="1"/>
        <v>0.39615313674619418</v>
      </c>
      <c r="J33" s="303">
        <f t="shared" si="1"/>
        <v>0.31294026790038892</v>
      </c>
      <c r="K33" s="304">
        <f t="shared" si="1"/>
        <v>0.23326544955797054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Bmxa+ms/JAciLpVgj1ilO+OGa94qmze3hgrxLQBYJULweIxT7CAffV9rrehEWWePmCjE/MhHeU20MV3qFNiVA==" saltValue="/4lc+tjkV4GiL6Ji6F97m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